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395" windowHeight="7740" activeTab="0"/>
  </bookViews>
  <sheets>
    <sheet name="Unit BoMs" sheetId="1" r:id="rId1"/>
  </sheets>
  <definedNames/>
  <calcPr fullCalcOnLoad="1"/>
</workbook>
</file>

<file path=xl/sharedStrings.xml><?xml version="1.0" encoding="utf-8"?>
<sst xmlns="http://schemas.openxmlformats.org/spreadsheetml/2006/main" count="278" uniqueCount="164">
  <si>
    <t>CIM Motor</t>
  </si>
  <si>
    <t>3/8" Collar</t>
  </si>
  <si>
    <t>Bill of Materials</t>
  </si>
  <si>
    <t>weight</t>
  </si>
  <si>
    <t>Vendor</t>
  </si>
  <si>
    <t>Price</t>
  </si>
  <si>
    <t>Description</t>
  </si>
  <si>
    <t>Quantity</t>
  </si>
  <si>
    <t>Subquantity</t>
  </si>
  <si>
    <t>Unit</t>
  </si>
  <si>
    <t>Piece</t>
  </si>
  <si>
    <t>Extended</t>
  </si>
  <si>
    <t>Manu</t>
  </si>
  <si>
    <t>Part #</t>
  </si>
  <si>
    <t>ea</t>
  </si>
  <si>
    <t>Name</t>
  </si>
  <si>
    <t>AndyMark</t>
  </si>
  <si>
    <t>Driven Pulley</t>
  </si>
  <si>
    <t>Driven Steering Pulley</t>
  </si>
  <si>
    <t>McMaster-Carr</t>
  </si>
  <si>
    <t>Bearings</t>
  </si>
  <si>
    <t>3/8" Roller Bearings</t>
  </si>
  <si>
    <t>5905K22</t>
  </si>
  <si>
    <t>3/8" Flanged Bearings</t>
  </si>
  <si>
    <t>am-0028</t>
  </si>
  <si>
    <t>3/8" x 1.125" OD Bearings</t>
  </si>
  <si>
    <t>KOP</t>
  </si>
  <si>
    <t>am-0209</t>
  </si>
  <si>
    <t>1" Flanged Bearings</t>
  </si>
  <si>
    <t>6384K373</t>
  </si>
  <si>
    <t>Thrust Bearing</t>
  </si>
  <si>
    <t>3/8" Thrust Bearing</t>
  </si>
  <si>
    <t>1½" ID Thrust Bearing</t>
  </si>
  <si>
    <t>6655K25</t>
  </si>
  <si>
    <t>Miter Gear</t>
  </si>
  <si>
    <t>16T 16 Diametrical Pitch</t>
  </si>
  <si>
    <t>Chain</t>
  </si>
  <si>
    <t>links</t>
  </si>
  <si>
    <t>Sponsor Fab</t>
  </si>
  <si>
    <t>Pivot Tube</t>
  </si>
  <si>
    <t>Pivot Brace</t>
  </si>
  <si>
    <t>Washer</t>
  </si>
  <si>
    <t>3/8" Acetal Washer</t>
  </si>
  <si>
    <t>95647A133</t>
  </si>
  <si>
    <t>Coax drive shaft</t>
  </si>
  <si>
    <t>3/8" steel shaft</t>
  </si>
  <si>
    <t>Transfer shaft</t>
  </si>
  <si>
    <t>Transfer shaft spacer</t>
  </si>
  <si>
    <t>Acetal</t>
  </si>
  <si>
    <t>Axle Shaft</t>
  </si>
  <si>
    <t>Axle Nut</t>
  </si>
  <si>
    <t>3/8"-16 Hex Jam Nut</t>
  </si>
  <si>
    <t>91255A548</t>
  </si>
  <si>
    <t>Axle Collar</t>
  </si>
  <si>
    <t>Axle Spacer</t>
  </si>
  <si>
    <t>Bolt</t>
  </si>
  <si>
    <t>10-32 0.50" FHCS</t>
  </si>
  <si>
    <t>91253A003</t>
  </si>
  <si>
    <t>10-32 0.375 FHCS</t>
  </si>
  <si>
    <t>91253A146</t>
  </si>
  <si>
    <t>10-32 Nyloc Nut</t>
  </si>
  <si>
    <t>Retaining Ring</t>
  </si>
  <si>
    <t>1" retaining ring</t>
  </si>
  <si>
    <t>97431A380</t>
  </si>
  <si>
    <t>Total</t>
  </si>
  <si>
    <t>Steering Motor</t>
  </si>
  <si>
    <t>Steering Gearbox</t>
  </si>
  <si>
    <t>BaneBots</t>
  </si>
  <si>
    <t>Drive Belt</t>
  </si>
  <si>
    <t xml:space="preserve">Fabricated </t>
  </si>
  <si>
    <t>1/2" Flanged Bearings</t>
  </si>
  <si>
    <t>am-0030</t>
  </si>
  <si>
    <t>Standoff</t>
  </si>
  <si>
    <t>92511A032</t>
  </si>
  <si>
    <t>Encoder</t>
  </si>
  <si>
    <t>10-32 x 0.500 SHCS</t>
  </si>
  <si>
    <t>½" Acetal Washer</t>
  </si>
  <si>
    <t>95647A137</t>
  </si>
  <si>
    <t>Pivot Drive Module</t>
  </si>
  <si>
    <t>Drive Steering Pulley</t>
  </si>
  <si>
    <t>BaneBots P60 133:1</t>
  </si>
  <si>
    <t>Drive Sprocket</t>
  </si>
  <si>
    <t>Driven Sprocket</t>
  </si>
  <si>
    <t>Drive Pulley</t>
  </si>
  <si>
    <t>Steering Belt</t>
  </si>
  <si>
    <t>Pivot Module Plate Bottom</t>
  </si>
  <si>
    <t>Pivot Module Plate Top</t>
  </si>
  <si>
    <t>HTD5 32T Nylon/Al</t>
  </si>
  <si>
    <t>HTD5 32T Al</t>
  </si>
  <si>
    <t>HTD5 18T Al</t>
  </si>
  <si>
    <t>HTD5 56T Nylon/Al</t>
  </si>
  <si>
    <t>Martin Gears</t>
  </si>
  <si>
    <t>M1616</t>
  </si>
  <si>
    <t>Pivot Top</t>
  </si>
  <si>
    <t>Pivot Side</t>
  </si>
  <si>
    <t>Quality Transmission Components</t>
  </si>
  <si>
    <t>3/8" x 4.5" Stud</t>
  </si>
  <si>
    <t>MSC</t>
  </si>
  <si>
    <t>10-32 x 2.50 BHCS</t>
  </si>
  <si>
    <t>¼-20 x 0.645 SHCS</t>
  </si>
  <si>
    <t>¼-20 Nylock</t>
  </si>
  <si>
    <t>QPEHTD5A15018F08</t>
  </si>
  <si>
    <t>P60K-555-0003</t>
  </si>
  <si>
    <t>8974K37</t>
  </si>
  <si>
    <t>9063K166</t>
  </si>
  <si>
    <t>92949A277</t>
  </si>
  <si>
    <t>90631A411</t>
  </si>
  <si>
    <t>am-0255</t>
  </si>
  <si>
    <t>6655K15</t>
  </si>
  <si>
    <t>5252T31</t>
  </si>
  <si>
    <t>6157K13</t>
  </si>
  <si>
    <t>QPEHTD5A15032F10</t>
  </si>
  <si>
    <t>QPEHTD5N15032F12</t>
  </si>
  <si>
    <t>QPEHTD5N15056F12</t>
  </si>
  <si>
    <t>QB-HTD5-0420-15</t>
  </si>
  <si>
    <t>QB-HTD5-0360-15</t>
  </si>
  <si>
    <t>74363367</t>
  </si>
  <si>
    <t>HTD5 420mm</t>
  </si>
  <si>
    <t>HTD5 360mm</t>
  </si>
  <si>
    <t>Drive Motor</t>
  </si>
  <si>
    <t>Mouser</t>
  </si>
  <si>
    <t>Megnepot Hall Effect Sensor</t>
  </si>
  <si>
    <t>858-6127V1A360L.5FS</t>
  </si>
  <si>
    <r>
      <t>in</t>
    </r>
    <r>
      <rPr>
        <vertAlign val="superscript"/>
        <sz val="11"/>
        <rFont val="Calibri"/>
        <family val="2"/>
      </rPr>
      <t>3</t>
    </r>
  </si>
  <si>
    <r>
      <t>@ 0.975 lb/in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 xml:space="preserve"> =</t>
    </r>
  </si>
  <si>
    <t>lb</t>
  </si>
  <si>
    <t>@ $1.85/lb =</t>
  </si>
  <si>
    <t>Pivot top &amp; sides cut from 1 pc 4" x 14.5" x 1/2" donated 6061 Al - 6061 Al otherwise was purchased by team from Glicks at this time at $1.85/lb</t>
  </si>
  <si>
    <t>4" x 14.5" x 1/2" =</t>
  </si>
  <si>
    <t>Pivot braces milled from 15.5 x 5 x 1/8" 6061 Al - 5 pcs per sheet - Purchased at $1.85/lb at Glicks</t>
  </si>
  <si>
    <t>5" x 15.5" x 1/8" =</t>
  </si>
  <si>
    <t>Flex Coupling</t>
  </si>
  <si>
    <t>AutomationDirect</t>
  </si>
  <si>
    <t>GJ-6D</t>
  </si>
  <si>
    <t>Sensor Coupling</t>
  </si>
  <si>
    <t>Sensor Mount</t>
  </si>
  <si>
    <t>8-32 x 1.75 SHCS</t>
  </si>
  <si>
    <t>91251A082</t>
  </si>
  <si>
    <t>92510A470</t>
  </si>
  <si>
    <t>Al spacer 1/4" OD x 1.25"</t>
  </si>
  <si>
    <t>am-2256</t>
  </si>
  <si>
    <t>HiGrip Wheel</t>
  </si>
  <si>
    <t>4 inch HiGrip Wheel</t>
  </si>
  <si>
    <t>Banebots RS540</t>
  </si>
  <si>
    <t>ANSI 25 12T drive Sprocket</t>
  </si>
  <si>
    <t>S25-32L Aluminum Sprocket</t>
  </si>
  <si>
    <t>ANSI 25 Steel Chain - 44 links</t>
  </si>
  <si>
    <t>VexPro</t>
  </si>
  <si>
    <t>217-2690</t>
  </si>
  <si>
    <t>6793K400</t>
  </si>
  <si>
    <t>Sprocket Bolts</t>
  </si>
  <si>
    <t>10-32 0.625" SHCS</t>
  </si>
  <si>
    <t>91251A344</t>
  </si>
  <si>
    <t>Spacer</t>
  </si>
  <si>
    <t>6-32 0.5625 SHCS</t>
  </si>
  <si>
    <t>91251A867</t>
  </si>
  <si>
    <t>6-32 0.875 SHCS</t>
  </si>
  <si>
    <t>91251A152</t>
  </si>
  <si>
    <t>6-32 1.25" x 0.25" Hex</t>
  </si>
  <si>
    <t>91780A335</t>
  </si>
  <si>
    <t>am-0370</t>
  </si>
  <si>
    <t>3/8" OD x 1.75"</t>
  </si>
  <si>
    <t>Nylon Tubing</t>
  </si>
  <si>
    <t>2013 Provisional Pivot Design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</si>
</sst>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164" fontId="0" fillId="34" borderId="0" xfId="0" applyNumberFormat="1" applyFill="1" applyAlignment="1">
      <alignment horizontal="centerContinuous"/>
    </xf>
    <xf numFmtId="0" fontId="0" fillId="34" borderId="0" xfId="0" applyFill="1" applyAlignment="1">
      <alignment horizontal="center"/>
    </xf>
    <xf numFmtId="164" fontId="0" fillId="34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" fontId="4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 quotePrefix="1">
      <alignment/>
    </xf>
    <xf numFmtId="49" fontId="4" fillId="33" borderId="0" xfId="0" applyNumberFormat="1" applyFont="1" applyFill="1" applyAlignment="1" quotePrefix="1">
      <alignment/>
    </xf>
    <xf numFmtId="1" fontId="3" fillId="33" borderId="0" xfId="0" applyNumberFormat="1" applyFont="1" applyFill="1" applyAlignment="1">
      <alignment/>
    </xf>
    <xf numFmtId="0" fontId="3" fillId="33" borderId="0" xfId="0" applyFont="1" applyFill="1" applyAlignment="1" quotePrefix="1">
      <alignment/>
    </xf>
    <xf numFmtId="0" fontId="4" fillId="33" borderId="0" xfId="0" applyFont="1" applyFill="1" applyAlignment="1" quotePrefix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4" fillId="35" borderId="0" xfId="0" applyFont="1" applyFill="1" applyAlignment="1" quotePrefix="1">
      <alignment/>
    </xf>
    <xf numFmtId="164" fontId="4" fillId="35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0" fontId="4" fillId="36" borderId="0" xfId="0" applyFont="1" applyFill="1" applyAlignment="1" quotePrefix="1">
      <alignment/>
    </xf>
    <xf numFmtId="2" fontId="4" fillId="36" borderId="0" xfId="0" applyNumberFormat="1" applyFont="1" applyFill="1" applyAlignment="1">
      <alignment/>
    </xf>
    <xf numFmtId="164" fontId="4" fillId="36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2" fontId="4" fillId="34" borderId="0" xfId="0" applyNumberFormat="1" applyFont="1" applyFill="1" applyAlignment="1">
      <alignment horizontal="centerContinuous"/>
    </xf>
    <xf numFmtId="0" fontId="4" fillId="34" borderId="0" xfId="0" applyFont="1" applyFill="1" applyAlignment="1">
      <alignment horizontal="centerContinuous"/>
    </xf>
    <xf numFmtId="49" fontId="4" fillId="34" borderId="0" xfId="0" applyNumberFormat="1" applyFont="1" applyFill="1" applyAlignment="1">
      <alignment horizontal="centerContinuous"/>
    </xf>
    <xf numFmtId="164" fontId="4" fillId="34" borderId="0" xfId="0" applyNumberFormat="1" applyFont="1" applyFill="1" applyAlignment="1">
      <alignment horizontal="centerContinuous"/>
    </xf>
    <xf numFmtId="2" fontId="4" fillId="34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center"/>
    </xf>
    <xf numFmtId="164" fontId="4" fillId="34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/>
    </xf>
    <xf numFmtId="49" fontId="4" fillId="33" borderId="0" xfId="0" applyNumberFormat="1" applyFont="1" applyFill="1" applyAlignment="1">
      <alignment horizontal="left"/>
    </xf>
    <xf numFmtId="49" fontId="4" fillId="0" borderId="0" xfId="0" applyNumberFormat="1" applyFont="1" applyAlignment="1" quotePrefix="1">
      <alignment/>
    </xf>
    <xf numFmtId="49" fontId="4" fillId="0" borderId="0" xfId="0" applyNumberFormat="1" applyFont="1" applyAlignment="1">
      <alignment horizontal="left"/>
    </xf>
    <xf numFmtId="49" fontId="4" fillId="33" borderId="0" xfId="0" applyNumberFormat="1" applyFont="1" applyFill="1" applyAlignment="1" quotePrefix="1">
      <alignment/>
    </xf>
    <xf numFmtId="49" fontId="4" fillId="33" borderId="0" xfId="0" applyNumberFormat="1" applyFont="1" applyFill="1" applyAlignment="1" quotePrefix="1">
      <alignment horizontal="left"/>
    </xf>
    <xf numFmtId="0" fontId="4" fillId="37" borderId="0" xfId="0" applyFont="1" applyFill="1" applyAlignment="1">
      <alignment/>
    </xf>
    <xf numFmtId="0" fontId="40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2" customWidth="1"/>
    <col min="2" max="2" width="20.28125" style="2" bestFit="1" customWidth="1"/>
    <col min="3" max="3" width="26.421875" style="2" bestFit="1" customWidth="1"/>
    <col min="4" max="4" width="9.140625" style="2" customWidth="1"/>
    <col min="5" max="5" width="10.8515625" style="2" bestFit="1" customWidth="1"/>
    <col min="6" max="6" width="9.140625" style="2" customWidth="1"/>
    <col min="7" max="12" width="9.140625" style="33" customWidth="1"/>
    <col min="13" max="16384" width="9.140625" style="2" customWidth="1"/>
  </cols>
  <sheetData>
    <row r="1" spans="1:13" ht="33.75">
      <c r="A1" s="1" t="s">
        <v>2</v>
      </c>
      <c r="D1" s="50" t="s">
        <v>163</v>
      </c>
      <c r="E1" s="3"/>
      <c r="G1" s="32"/>
      <c r="H1" s="32"/>
      <c r="I1" s="32"/>
      <c r="K1" s="34"/>
      <c r="L1" s="35"/>
      <c r="M1" s="4"/>
    </row>
    <row r="2" spans="5:13" ht="15">
      <c r="E2" s="3"/>
      <c r="G2" s="32"/>
      <c r="H2" s="32"/>
      <c r="I2" s="32"/>
      <c r="J2" s="32"/>
      <c r="K2" s="34"/>
      <c r="L2" s="35"/>
      <c r="M2" s="4"/>
    </row>
    <row r="3" spans="1:13" ht="15">
      <c r="A3" s="5" t="s">
        <v>78</v>
      </c>
      <c r="B3" s="5"/>
      <c r="C3" s="5"/>
      <c r="D3" s="5"/>
      <c r="E3" s="6"/>
      <c r="F3" s="5"/>
      <c r="G3" s="36" t="s">
        <v>3</v>
      </c>
      <c r="H3" s="36"/>
      <c r="I3" s="36"/>
      <c r="J3" s="37" t="s">
        <v>4</v>
      </c>
      <c r="K3" s="38"/>
      <c r="L3" s="39" t="s">
        <v>5</v>
      </c>
      <c r="M3" s="7"/>
    </row>
    <row r="4" spans="1:13" ht="15">
      <c r="A4" s="8"/>
      <c r="B4" s="5" t="s">
        <v>15</v>
      </c>
      <c r="C4" s="5" t="s">
        <v>6</v>
      </c>
      <c r="D4" s="5" t="s">
        <v>7</v>
      </c>
      <c r="E4" s="6" t="s">
        <v>8</v>
      </c>
      <c r="F4" s="5" t="s">
        <v>9</v>
      </c>
      <c r="G4" s="40" t="s">
        <v>9</v>
      </c>
      <c r="H4" s="40" t="s">
        <v>10</v>
      </c>
      <c r="I4" s="40" t="s">
        <v>11</v>
      </c>
      <c r="J4" s="40" t="s">
        <v>12</v>
      </c>
      <c r="K4" s="41" t="s">
        <v>13</v>
      </c>
      <c r="L4" s="42" t="s">
        <v>9</v>
      </c>
      <c r="M4" s="9" t="s">
        <v>11</v>
      </c>
    </row>
    <row r="5" spans="1:13" s="12" customFormat="1" ht="15">
      <c r="A5" s="23">
        <v>1</v>
      </c>
      <c r="B5" s="10" t="s">
        <v>141</v>
      </c>
      <c r="C5" s="10" t="s">
        <v>142</v>
      </c>
      <c r="D5" s="10">
        <v>1</v>
      </c>
      <c r="E5" s="13">
        <v>1</v>
      </c>
      <c r="F5" s="12" t="s">
        <v>14</v>
      </c>
      <c r="G5" s="43">
        <v>0.31</v>
      </c>
      <c r="H5" s="14">
        <f aca="true" t="shared" si="0" ref="H5:H14">G5*E5</f>
        <v>0.31</v>
      </c>
      <c r="I5" s="14">
        <f aca="true" t="shared" si="1" ref="I5:I14">H5*D5</f>
        <v>0.31</v>
      </c>
      <c r="J5" s="12" t="s">
        <v>16</v>
      </c>
      <c r="K5" s="44" t="s">
        <v>140</v>
      </c>
      <c r="L5" s="16">
        <v>6</v>
      </c>
      <c r="M5" s="17">
        <f aca="true" t="shared" si="2" ref="M5:M33">IF(L5&lt;1,0,L5*D5)</f>
        <v>6</v>
      </c>
    </row>
    <row r="6" spans="1:27" s="12" customFormat="1" ht="15">
      <c r="A6" s="24">
        <f aca="true" t="shared" si="3" ref="A6:A59">1+A5</f>
        <v>2</v>
      </c>
      <c r="B6" s="12" t="s">
        <v>119</v>
      </c>
      <c r="C6" s="12" t="s">
        <v>0</v>
      </c>
      <c r="D6" s="12">
        <v>1</v>
      </c>
      <c r="E6" s="13">
        <v>1</v>
      </c>
      <c r="F6" s="12" t="s">
        <v>14</v>
      </c>
      <c r="G6" s="14">
        <v>2.821931700434313</v>
      </c>
      <c r="H6" s="14">
        <f t="shared" si="0"/>
        <v>2.821931700434313</v>
      </c>
      <c r="I6" s="14">
        <f t="shared" si="1"/>
        <v>2.821931700434313</v>
      </c>
      <c r="J6" s="12" t="s">
        <v>26</v>
      </c>
      <c r="K6" s="34" t="s">
        <v>107</v>
      </c>
      <c r="L6" s="16">
        <v>0</v>
      </c>
      <c r="M6" s="17">
        <f t="shared" si="2"/>
        <v>0</v>
      </c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</row>
    <row r="7" spans="1:13" s="12" customFormat="1" ht="15">
      <c r="A7" s="24">
        <f t="shared" si="3"/>
        <v>3</v>
      </c>
      <c r="B7" s="10" t="s">
        <v>65</v>
      </c>
      <c r="C7" s="10" t="s">
        <v>143</v>
      </c>
      <c r="D7" s="12">
        <v>1</v>
      </c>
      <c r="E7" s="13">
        <v>1</v>
      </c>
      <c r="F7" s="12" t="s">
        <v>14</v>
      </c>
      <c r="G7" s="14">
        <f>153/453.59</f>
        <v>0.337309023567539</v>
      </c>
      <c r="H7" s="14">
        <f t="shared" si="0"/>
        <v>0.337309023567539</v>
      </c>
      <c r="I7" s="14">
        <f t="shared" si="1"/>
        <v>0.337309023567539</v>
      </c>
      <c r="J7" s="12" t="s">
        <v>26</v>
      </c>
      <c r="K7" s="15"/>
      <c r="L7" s="16">
        <v>0</v>
      </c>
      <c r="M7" s="17">
        <f t="shared" si="2"/>
        <v>0</v>
      </c>
    </row>
    <row r="8" spans="1:13" s="12" customFormat="1" ht="15">
      <c r="A8" s="24">
        <f t="shared" si="3"/>
        <v>4</v>
      </c>
      <c r="B8" s="10" t="s">
        <v>66</v>
      </c>
      <c r="C8" s="10" t="s">
        <v>80</v>
      </c>
      <c r="D8" s="12">
        <v>1</v>
      </c>
      <c r="E8" s="13">
        <v>1</v>
      </c>
      <c r="F8" s="12" t="s">
        <v>14</v>
      </c>
      <c r="G8" s="14">
        <f>273/453.59</f>
        <v>0.6018651204832558</v>
      </c>
      <c r="H8" s="14">
        <f t="shared" si="0"/>
        <v>0.6018651204832558</v>
      </c>
      <c r="I8" s="14">
        <f t="shared" si="1"/>
        <v>0.6018651204832558</v>
      </c>
      <c r="J8" s="12" t="s">
        <v>67</v>
      </c>
      <c r="K8" s="44" t="s">
        <v>102</v>
      </c>
      <c r="L8" s="16">
        <v>64.5</v>
      </c>
      <c r="M8" s="17">
        <f t="shared" si="2"/>
        <v>64.5</v>
      </c>
    </row>
    <row r="9" spans="1:13" s="12" customFormat="1" ht="15">
      <c r="A9" s="24">
        <f t="shared" si="3"/>
        <v>5</v>
      </c>
      <c r="B9" s="10" t="s">
        <v>81</v>
      </c>
      <c r="C9" s="10" t="s">
        <v>144</v>
      </c>
      <c r="D9" s="10">
        <v>1</v>
      </c>
      <c r="E9" s="13">
        <v>1</v>
      </c>
      <c r="F9" s="12" t="s">
        <v>14</v>
      </c>
      <c r="G9" s="14">
        <f>17.1/453.59</f>
        <v>0.037699243810489655</v>
      </c>
      <c r="H9" s="14">
        <f t="shared" si="0"/>
        <v>0.037699243810489655</v>
      </c>
      <c r="I9" s="14">
        <f t="shared" si="1"/>
        <v>0.037699243810489655</v>
      </c>
      <c r="J9" s="12" t="s">
        <v>19</v>
      </c>
      <c r="K9" s="44" t="s">
        <v>149</v>
      </c>
      <c r="L9" s="16">
        <v>6.05</v>
      </c>
      <c r="M9" s="17">
        <f t="shared" si="2"/>
        <v>6.05</v>
      </c>
    </row>
    <row r="10" spans="1:13" s="12" customFormat="1" ht="15">
      <c r="A10" s="24">
        <f t="shared" si="3"/>
        <v>6</v>
      </c>
      <c r="B10" s="10" t="s">
        <v>82</v>
      </c>
      <c r="C10" s="10" t="s">
        <v>145</v>
      </c>
      <c r="D10" s="10">
        <v>1</v>
      </c>
      <c r="E10" s="13">
        <v>1</v>
      </c>
      <c r="F10" s="12" t="s">
        <v>14</v>
      </c>
      <c r="G10" s="14">
        <v>0.03</v>
      </c>
      <c r="H10" s="14">
        <f t="shared" si="0"/>
        <v>0.03</v>
      </c>
      <c r="I10" s="14">
        <f t="shared" si="1"/>
        <v>0.03</v>
      </c>
      <c r="J10" s="12" t="s">
        <v>147</v>
      </c>
      <c r="K10" s="47" t="s">
        <v>148</v>
      </c>
      <c r="L10" s="16">
        <v>5.99</v>
      </c>
      <c r="M10" s="17">
        <f t="shared" si="2"/>
        <v>5.99</v>
      </c>
    </row>
    <row r="11" spans="1:13" s="12" customFormat="1" ht="15">
      <c r="A11" s="24">
        <f t="shared" si="3"/>
        <v>7</v>
      </c>
      <c r="B11" s="10" t="s">
        <v>36</v>
      </c>
      <c r="C11" s="10" t="s">
        <v>146</v>
      </c>
      <c r="D11" s="10">
        <v>1</v>
      </c>
      <c r="E11" s="13">
        <v>44</v>
      </c>
      <c r="F11" s="12" t="s">
        <v>37</v>
      </c>
      <c r="G11" s="11">
        <f>1.014/(10*12*4)</f>
        <v>0.0021125000000000002</v>
      </c>
      <c r="H11" s="14">
        <f t="shared" si="0"/>
        <v>0.09295</v>
      </c>
      <c r="I11" s="14">
        <f t="shared" si="1"/>
        <v>0.09295</v>
      </c>
      <c r="J11" s="12" t="s">
        <v>16</v>
      </c>
      <c r="K11" s="15" t="s">
        <v>160</v>
      </c>
      <c r="L11" s="16">
        <f>12/(10*12*4)*E11</f>
        <v>1.1</v>
      </c>
      <c r="M11" s="17">
        <f t="shared" si="2"/>
        <v>1.1</v>
      </c>
    </row>
    <row r="12" spans="1:13" s="12" customFormat="1" ht="15">
      <c r="A12" s="24">
        <f t="shared" si="3"/>
        <v>8</v>
      </c>
      <c r="B12" s="10" t="s">
        <v>79</v>
      </c>
      <c r="C12" s="10" t="s">
        <v>87</v>
      </c>
      <c r="D12" s="10">
        <v>1</v>
      </c>
      <c r="E12" s="19">
        <v>1</v>
      </c>
      <c r="F12" s="10" t="s">
        <v>14</v>
      </c>
      <c r="G12" s="11">
        <v>0.13668731673978704</v>
      </c>
      <c r="H12" s="14">
        <f t="shared" si="0"/>
        <v>0.13668731673978704</v>
      </c>
      <c r="I12" s="14">
        <f t="shared" si="1"/>
        <v>0.13668731673978704</v>
      </c>
      <c r="J12" s="12" t="s">
        <v>95</v>
      </c>
      <c r="K12" s="34" t="s">
        <v>112</v>
      </c>
      <c r="L12" s="16">
        <v>9.73</v>
      </c>
      <c r="M12" s="17">
        <f t="shared" si="2"/>
        <v>9.73</v>
      </c>
    </row>
    <row r="13" spans="1:13" s="12" customFormat="1" ht="15">
      <c r="A13" s="24">
        <f t="shared" si="3"/>
        <v>9</v>
      </c>
      <c r="B13" s="10" t="s">
        <v>18</v>
      </c>
      <c r="C13" s="10" t="s">
        <v>88</v>
      </c>
      <c r="D13" s="10">
        <v>1</v>
      </c>
      <c r="E13" s="13">
        <v>1</v>
      </c>
      <c r="F13" s="12" t="s">
        <v>14</v>
      </c>
      <c r="G13" s="14">
        <v>0.1923543287991358</v>
      </c>
      <c r="H13" s="14">
        <f t="shared" si="0"/>
        <v>0.1923543287991358</v>
      </c>
      <c r="I13" s="14">
        <f t="shared" si="1"/>
        <v>0.1923543287991358</v>
      </c>
      <c r="J13" s="12" t="s">
        <v>95</v>
      </c>
      <c r="K13" s="34" t="s">
        <v>111</v>
      </c>
      <c r="L13" s="16">
        <v>12.01</v>
      </c>
      <c r="M13" s="17">
        <f t="shared" si="2"/>
        <v>12.01</v>
      </c>
    </row>
    <row r="14" spans="1:13" s="12" customFormat="1" ht="15">
      <c r="A14" s="24">
        <f t="shared" si="3"/>
        <v>10</v>
      </c>
      <c r="B14" s="10" t="s">
        <v>84</v>
      </c>
      <c r="C14" s="10" t="s">
        <v>118</v>
      </c>
      <c r="D14" s="10">
        <v>1</v>
      </c>
      <c r="E14" s="19">
        <v>1</v>
      </c>
      <c r="F14" s="10" t="s">
        <v>14</v>
      </c>
      <c r="G14" s="11">
        <v>0.04850195110121475</v>
      </c>
      <c r="H14" s="14">
        <f t="shared" si="0"/>
        <v>0.04850195110121475</v>
      </c>
      <c r="I14" s="14">
        <f t="shared" si="1"/>
        <v>0.04850195110121475</v>
      </c>
      <c r="J14" s="12" t="s">
        <v>95</v>
      </c>
      <c r="K14" s="34" t="s">
        <v>115</v>
      </c>
      <c r="L14" s="16">
        <v>6.15</v>
      </c>
      <c r="M14" s="17">
        <f t="shared" si="2"/>
        <v>6.15</v>
      </c>
    </row>
    <row r="15" spans="1:13" s="12" customFormat="1" ht="15">
      <c r="A15" s="24">
        <f t="shared" si="3"/>
        <v>11</v>
      </c>
      <c r="B15" s="10" t="s">
        <v>83</v>
      </c>
      <c r="C15" s="10" t="s">
        <v>89</v>
      </c>
      <c r="D15" s="10">
        <v>1</v>
      </c>
      <c r="E15" s="13">
        <v>1</v>
      </c>
      <c r="F15" s="12" t="s">
        <v>14</v>
      </c>
      <c r="G15" s="14">
        <v>0.06834365836989352</v>
      </c>
      <c r="H15" s="14">
        <f>G15*E15</f>
        <v>0.06834365836989352</v>
      </c>
      <c r="I15" s="14">
        <f>H15*D15</f>
        <v>0.06834365836989352</v>
      </c>
      <c r="J15" s="12" t="s">
        <v>95</v>
      </c>
      <c r="K15" s="34" t="s">
        <v>101</v>
      </c>
      <c r="L15" s="16">
        <v>7.13</v>
      </c>
      <c r="M15" s="17">
        <f t="shared" si="2"/>
        <v>7.13</v>
      </c>
    </row>
    <row r="16" spans="1:13" s="12" customFormat="1" ht="15">
      <c r="A16" s="24">
        <f t="shared" si="3"/>
        <v>12</v>
      </c>
      <c r="B16" s="10" t="s">
        <v>17</v>
      </c>
      <c r="C16" s="10" t="s">
        <v>90</v>
      </c>
      <c r="D16" s="10">
        <v>1</v>
      </c>
      <c r="E16" s="13">
        <v>1</v>
      </c>
      <c r="F16" s="12" t="s">
        <v>14</v>
      </c>
      <c r="G16" s="14">
        <v>0.3053418285235565</v>
      </c>
      <c r="H16" s="14">
        <f aca="true" t="shared" si="4" ref="H16:H49">G16*E16</f>
        <v>0.3053418285235565</v>
      </c>
      <c r="I16" s="14">
        <f aca="true" t="shared" si="5" ref="I16:I49">H16*D16</f>
        <v>0.3053418285235565</v>
      </c>
      <c r="J16" s="12" t="s">
        <v>95</v>
      </c>
      <c r="K16" s="34" t="s">
        <v>113</v>
      </c>
      <c r="L16" s="16">
        <v>12.98</v>
      </c>
      <c r="M16" s="17">
        <f t="shared" si="2"/>
        <v>12.98</v>
      </c>
    </row>
    <row r="17" spans="1:13" s="12" customFormat="1" ht="15">
      <c r="A17" s="24">
        <f t="shared" si="3"/>
        <v>13</v>
      </c>
      <c r="B17" s="10" t="s">
        <v>68</v>
      </c>
      <c r="C17" s="10" t="s">
        <v>117</v>
      </c>
      <c r="D17" s="10">
        <v>1</v>
      </c>
      <c r="E17" s="19">
        <v>1</v>
      </c>
      <c r="F17" s="10" t="s">
        <v>14</v>
      </c>
      <c r="G17" s="11">
        <v>0.05379307303952909</v>
      </c>
      <c r="H17" s="14">
        <f t="shared" si="4"/>
        <v>0.05379307303952909</v>
      </c>
      <c r="I17" s="14">
        <f t="shared" si="5"/>
        <v>0.05379307303952909</v>
      </c>
      <c r="J17" s="12" t="s">
        <v>95</v>
      </c>
      <c r="K17" s="34" t="s">
        <v>114</v>
      </c>
      <c r="L17" s="16">
        <v>6.79</v>
      </c>
      <c r="M17" s="17">
        <f t="shared" si="2"/>
        <v>6.79</v>
      </c>
    </row>
    <row r="18" spans="1:13" s="12" customFormat="1" ht="15">
      <c r="A18" s="24">
        <f t="shared" si="3"/>
        <v>14</v>
      </c>
      <c r="B18" s="10" t="s">
        <v>34</v>
      </c>
      <c r="C18" s="10" t="s">
        <v>35</v>
      </c>
      <c r="D18" s="10">
        <v>1</v>
      </c>
      <c r="E18" s="13">
        <v>1</v>
      </c>
      <c r="F18" s="12" t="s">
        <v>14</v>
      </c>
      <c r="G18" s="14">
        <v>0.07661103639850968</v>
      </c>
      <c r="H18" s="14">
        <f t="shared" si="4"/>
        <v>0.07661103639850968</v>
      </c>
      <c r="I18" s="14">
        <f t="shared" si="5"/>
        <v>0.07661103639850968</v>
      </c>
      <c r="J18" s="12" t="s">
        <v>91</v>
      </c>
      <c r="K18" s="15" t="s">
        <v>92</v>
      </c>
      <c r="L18" s="16">
        <v>17.6</v>
      </c>
      <c r="M18" s="17">
        <f t="shared" si="2"/>
        <v>17.6</v>
      </c>
    </row>
    <row r="19" spans="1:13" s="12" customFormat="1" ht="15">
      <c r="A19" s="24">
        <f t="shared" si="3"/>
        <v>15</v>
      </c>
      <c r="B19" s="10" t="s">
        <v>34</v>
      </c>
      <c r="C19" s="10" t="s">
        <v>35</v>
      </c>
      <c r="D19" s="10">
        <v>1</v>
      </c>
      <c r="E19" s="13">
        <v>1</v>
      </c>
      <c r="F19" s="12" t="s">
        <v>14</v>
      </c>
      <c r="G19" s="14">
        <v>0.06</v>
      </c>
      <c r="H19" s="14">
        <f>G19*E19</f>
        <v>0.06</v>
      </c>
      <c r="I19" s="14">
        <f>H19*D19</f>
        <v>0.06</v>
      </c>
      <c r="J19" s="12" t="s">
        <v>91</v>
      </c>
      <c r="K19" s="15" t="s">
        <v>92</v>
      </c>
      <c r="L19" s="16">
        <v>17.6</v>
      </c>
      <c r="M19" s="17">
        <f>IF(L19&lt;1,0,L19*D19)</f>
        <v>17.6</v>
      </c>
    </row>
    <row r="20" spans="1:13" s="12" customFormat="1" ht="15">
      <c r="A20" s="24">
        <f t="shared" si="3"/>
        <v>16</v>
      </c>
      <c r="B20" s="10" t="s">
        <v>20</v>
      </c>
      <c r="C20" s="10" t="s">
        <v>28</v>
      </c>
      <c r="D20" s="12">
        <v>2</v>
      </c>
      <c r="E20" s="13">
        <v>1</v>
      </c>
      <c r="F20" s="12" t="s">
        <v>14</v>
      </c>
      <c r="G20" s="11">
        <v>0.2623514627747525</v>
      </c>
      <c r="H20" s="14">
        <f t="shared" si="4"/>
        <v>0.2623514627747525</v>
      </c>
      <c r="I20" s="14">
        <f t="shared" si="5"/>
        <v>0.524702925549505</v>
      </c>
      <c r="J20" s="12" t="s">
        <v>19</v>
      </c>
      <c r="K20" s="44" t="s">
        <v>29</v>
      </c>
      <c r="L20" s="16">
        <v>18.34</v>
      </c>
      <c r="M20" s="17">
        <f t="shared" si="2"/>
        <v>36.68</v>
      </c>
    </row>
    <row r="21" spans="1:13" s="12" customFormat="1" ht="15">
      <c r="A21" s="24">
        <f t="shared" si="3"/>
        <v>17</v>
      </c>
      <c r="B21" s="10" t="s">
        <v>30</v>
      </c>
      <c r="C21" s="10" t="s">
        <v>32</v>
      </c>
      <c r="D21" s="10">
        <v>1</v>
      </c>
      <c r="E21" s="13">
        <v>1</v>
      </c>
      <c r="F21" s="12" t="s">
        <v>14</v>
      </c>
      <c r="G21" s="14">
        <v>0.07936682907471505</v>
      </c>
      <c r="H21" s="14">
        <f t="shared" si="4"/>
        <v>0.07936682907471505</v>
      </c>
      <c r="I21" s="14">
        <f t="shared" si="5"/>
        <v>0.07936682907471505</v>
      </c>
      <c r="J21" s="12" t="s">
        <v>19</v>
      </c>
      <c r="K21" s="34" t="s">
        <v>33</v>
      </c>
      <c r="L21" s="16">
        <v>10.82</v>
      </c>
      <c r="M21" s="17">
        <f t="shared" si="2"/>
        <v>10.82</v>
      </c>
    </row>
    <row r="22" spans="1:13" s="12" customFormat="1" ht="15">
      <c r="A22" s="24">
        <f t="shared" si="3"/>
        <v>18</v>
      </c>
      <c r="B22" s="10" t="s">
        <v>20</v>
      </c>
      <c r="C22" s="10" t="s">
        <v>70</v>
      </c>
      <c r="D22" s="10">
        <v>1</v>
      </c>
      <c r="E22" s="19">
        <v>1</v>
      </c>
      <c r="F22" s="10" t="s">
        <v>14</v>
      </c>
      <c r="G22" s="11">
        <v>0.04850195110121475</v>
      </c>
      <c r="H22" s="14">
        <f t="shared" si="4"/>
        <v>0.04850195110121475</v>
      </c>
      <c r="I22" s="14">
        <f t="shared" si="5"/>
        <v>0.04850195110121475</v>
      </c>
      <c r="J22" s="12" t="s">
        <v>16</v>
      </c>
      <c r="K22" s="15" t="s">
        <v>71</v>
      </c>
      <c r="L22" s="16">
        <v>7</v>
      </c>
      <c r="M22" s="17">
        <f t="shared" si="2"/>
        <v>7</v>
      </c>
    </row>
    <row r="23" spans="1:13" s="12" customFormat="1" ht="15">
      <c r="A23" s="24">
        <f t="shared" si="3"/>
        <v>19</v>
      </c>
      <c r="B23" s="10" t="s">
        <v>20</v>
      </c>
      <c r="C23" s="10" t="s">
        <v>23</v>
      </c>
      <c r="D23" s="10">
        <v>2</v>
      </c>
      <c r="E23" s="13">
        <v>1</v>
      </c>
      <c r="F23" s="12" t="s">
        <v>14</v>
      </c>
      <c r="G23" s="11">
        <v>0.026455609691571687</v>
      </c>
      <c r="H23" s="14">
        <f t="shared" si="4"/>
        <v>0.026455609691571687</v>
      </c>
      <c r="I23" s="14">
        <f t="shared" si="5"/>
        <v>0.052911219383143374</v>
      </c>
      <c r="J23" s="12" t="s">
        <v>16</v>
      </c>
      <c r="K23" s="15" t="s">
        <v>24</v>
      </c>
      <c r="L23" s="16">
        <v>4.5</v>
      </c>
      <c r="M23" s="17">
        <f t="shared" si="2"/>
        <v>9</v>
      </c>
    </row>
    <row r="24" spans="1:13" s="12" customFormat="1" ht="15">
      <c r="A24" s="24">
        <f t="shared" si="3"/>
        <v>20</v>
      </c>
      <c r="B24" s="10" t="s">
        <v>20</v>
      </c>
      <c r="C24" s="10" t="s">
        <v>21</v>
      </c>
      <c r="D24" s="10">
        <v>2</v>
      </c>
      <c r="E24" s="13">
        <v>1</v>
      </c>
      <c r="F24" s="12" t="s">
        <v>14</v>
      </c>
      <c r="G24" s="11">
        <v>0.01234595118940012</v>
      </c>
      <c r="H24" s="14">
        <f t="shared" si="4"/>
        <v>0.01234595118940012</v>
      </c>
      <c r="I24" s="14">
        <f t="shared" si="5"/>
        <v>0.02469190237880024</v>
      </c>
      <c r="J24" s="12" t="s">
        <v>19</v>
      </c>
      <c r="K24" s="34" t="s">
        <v>22</v>
      </c>
      <c r="L24" s="16">
        <v>4.8</v>
      </c>
      <c r="M24" s="17">
        <f t="shared" si="2"/>
        <v>9.6</v>
      </c>
    </row>
    <row r="25" spans="1:13" s="12" customFormat="1" ht="15">
      <c r="A25" s="24">
        <f t="shared" si="3"/>
        <v>21</v>
      </c>
      <c r="B25" s="10" t="s">
        <v>20</v>
      </c>
      <c r="C25" s="10" t="s">
        <v>25</v>
      </c>
      <c r="D25" s="10">
        <v>2</v>
      </c>
      <c r="E25" s="13">
        <v>1</v>
      </c>
      <c r="F25" s="12" t="s">
        <v>14</v>
      </c>
      <c r="G25" s="11">
        <v>0.06349346325977205</v>
      </c>
      <c r="H25" s="14">
        <f t="shared" si="4"/>
        <v>0.06349346325977205</v>
      </c>
      <c r="I25" s="14">
        <f t="shared" si="5"/>
        <v>0.1269869265195441</v>
      </c>
      <c r="J25" s="12" t="s">
        <v>26</v>
      </c>
      <c r="K25" s="15" t="s">
        <v>27</v>
      </c>
      <c r="L25" s="16">
        <v>0</v>
      </c>
      <c r="M25" s="17">
        <f t="shared" si="2"/>
        <v>0</v>
      </c>
    </row>
    <row r="26" spans="1:13" s="12" customFormat="1" ht="15">
      <c r="A26" s="24">
        <f t="shared" si="3"/>
        <v>22</v>
      </c>
      <c r="B26" s="10" t="s">
        <v>30</v>
      </c>
      <c r="C26" s="10" t="s">
        <v>31</v>
      </c>
      <c r="D26" s="10">
        <v>2</v>
      </c>
      <c r="E26" s="13">
        <v>1</v>
      </c>
      <c r="F26" s="12" t="s">
        <v>14</v>
      </c>
      <c r="G26" s="11">
        <v>0.016534756057232303</v>
      </c>
      <c r="H26" s="14">
        <f t="shared" si="4"/>
        <v>0.016534756057232303</v>
      </c>
      <c r="I26" s="14">
        <f t="shared" si="5"/>
        <v>0.03306951211446461</v>
      </c>
      <c r="J26" s="12" t="s">
        <v>19</v>
      </c>
      <c r="K26" s="34" t="s">
        <v>108</v>
      </c>
      <c r="L26" s="16">
        <v>2.39</v>
      </c>
      <c r="M26" s="17">
        <f t="shared" si="2"/>
        <v>4.78</v>
      </c>
    </row>
    <row r="27" spans="1:15" s="12" customFormat="1" ht="15">
      <c r="A27" s="24">
        <f t="shared" si="3"/>
        <v>23</v>
      </c>
      <c r="B27" s="10" t="s">
        <v>44</v>
      </c>
      <c r="C27" s="10" t="s">
        <v>45</v>
      </c>
      <c r="D27" s="10">
        <v>1</v>
      </c>
      <c r="E27" s="13">
        <v>1</v>
      </c>
      <c r="F27" s="12" t="s">
        <v>14</v>
      </c>
      <c r="G27" s="11">
        <f>79/453.59</f>
        <v>0.17416609713618025</v>
      </c>
      <c r="H27" s="14">
        <f t="shared" si="4"/>
        <v>0.17416609713618025</v>
      </c>
      <c r="I27" s="14">
        <f t="shared" si="5"/>
        <v>0.17416609713618025</v>
      </c>
      <c r="J27" s="12" t="s">
        <v>19</v>
      </c>
      <c r="K27" s="34" t="s">
        <v>109</v>
      </c>
      <c r="L27" s="16">
        <f>27.59/18</f>
        <v>1.5327777777777778</v>
      </c>
      <c r="M27" s="17">
        <f t="shared" si="2"/>
        <v>1.5327777777777778</v>
      </c>
      <c r="O27" s="14"/>
    </row>
    <row r="28" spans="1:15" s="12" customFormat="1" ht="15">
      <c r="A28" s="24">
        <f t="shared" si="3"/>
        <v>24</v>
      </c>
      <c r="B28" s="10" t="s">
        <v>46</v>
      </c>
      <c r="C28" s="10" t="s">
        <v>69</v>
      </c>
      <c r="D28" s="10">
        <v>1</v>
      </c>
      <c r="E28" s="13">
        <v>1</v>
      </c>
      <c r="F28" s="12" t="s">
        <v>14</v>
      </c>
      <c r="G28" s="11">
        <f>20.19/453.59</f>
        <v>0.04451156330606936</v>
      </c>
      <c r="H28" s="14">
        <f t="shared" si="4"/>
        <v>0.04451156330606936</v>
      </c>
      <c r="I28" s="14">
        <f t="shared" si="5"/>
        <v>0.04451156330606936</v>
      </c>
      <c r="J28" s="12" t="s">
        <v>19</v>
      </c>
      <c r="K28" s="44" t="s">
        <v>104</v>
      </c>
      <c r="L28" s="16">
        <f>49.74/18</f>
        <v>2.7633333333333336</v>
      </c>
      <c r="M28" s="17">
        <f t="shared" si="2"/>
        <v>2.7633333333333336</v>
      </c>
      <c r="O28" s="14"/>
    </row>
    <row r="29" spans="1:15" s="12" customFormat="1" ht="15">
      <c r="A29" s="24">
        <f t="shared" si="3"/>
        <v>25</v>
      </c>
      <c r="B29" s="10" t="s">
        <v>47</v>
      </c>
      <c r="C29" s="10" t="s">
        <v>48</v>
      </c>
      <c r="D29" s="10">
        <v>1</v>
      </c>
      <c r="E29" s="13">
        <v>1</v>
      </c>
      <c r="F29" s="12" t="s">
        <v>14</v>
      </c>
      <c r="G29" s="11">
        <v>0.009094115831477767</v>
      </c>
      <c r="H29" s="14">
        <f t="shared" si="4"/>
        <v>0.009094115831477767</v>
      </c>
      <c r="I29" s="14">
        <f t="shared" si="5"/>
        <v>0.009094115831477767</v>
      </c>
      <c r="J29" s="12" t="s">
        <v>19</v>
      </c>
      <c r="K29" s="15"/>
      <c r="L29" s="16"/>
      <c r="M29" s="17">
        <f t="shared" si="2"/>
        <v>0</v>
      </c>
      <c r="O29" s="14"/>
    </row>
    <row r="30" spans="1:13" s="12" customFormat="1" ht="15">
      <c r="A30" s="24">
        <f t="shared" si="3"/>
        <v>26</v>
      </c>
      <c r="B30" s="10" t="s">
        <v>49</v>
      </c>
      <c r="C30" s="10" t="s">
        <v>96</v>
      </c>
      <c r="D30" s="10">
        <v>1</v>
      </c>
      <c r="E30" s="13">
        <v>1</v>
      </c>
      <c r="F30" s="12" t="s">
        <v>14</v>
      </c>
      <c r="G30" s="11">
        <v>0.11</v>
      </c>
      <c r="H30" s="14">
        <f t="shared" si="4"/>
        <v>0.11</v>
      </c>
      <c r="I30" s="14">
        <f t="shared" si="5"/>
        <v>0.11</v>
      </c>
      <c r="J30" s="12" t="s">
        <v>97</v>
      </c>
      <c r="K30" s="45" t="s">
        <v>116</v>
      </c>
      <c r="L30" s="16">
        <v>1.93</v>
      </c>
      <c r="M30" s="17">
        <f t="shared" si="2"/>
        <v>1.93</v>
      </c>
    </row>
    <row r="31" spans="1:27" s="12" customFormat="1" ht="15">
      <c r="A31" s="24">
        <f t="shared" si="3"/>
        <v>27</v>
      </c>
      <c r="B31" s="10" t="s">
        <v>93</v>
      </c>
      <c r="C31" s="10" t="s">
        <v>38</v>
      </c>
      <c r="D31" s="10">
        <v>1</v>
      </c>
      <c r="E31" s="13">
        <v>1</v>
      </c>
      <c r="F31" s="12" t="s">
        <v>14</v>
      </c>
      <c r="G31" s="11">
        <v>0.23</v>
      </c>
      <c r="H31" s="14">
        <f t="shared" si="4"/>
        <v>0.23</v>
      </c>
      <c r="I31" s="14">
        <f t="shared" si="5"/>
        <v>0.23</v>
      </c>
      <c r="K31" s="15"/>
      <c r="L31" s="16">
        <f>X32*4/16</f>
        <v>1.30771875</v>
      </c>
      <c r="M31" s="17">
        <f t="shared" si="2"/>
        <v>1.30771875</v>
      </c>
      <c r="N31" s="25" t="s">
        <v>127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1:27" s="12" customFormat="1" ht="17.25">
      <c r="A32" s="24">
        <f t="shared" si="3"/>
        <v>28</v>
      </c>
      <c r="B32" s="10" t="s">
        <v>94</v>
      </c>
      <c r="C32" s="10" t="s">
        <v>38</v>
      </c>
      <c r="D32" s="10">
        <v>2</v>
      </c>
      <c r="E32" s="13">
        <v>1</v>
      </c>
      <c r="F32" s="12" t="s">
        <v>14</v>
      </c>
      <c r="G32" s="11">
        <v>0.14</v>
      </c>
      <c r="H32" s="14">
        <f t="shared" si="4"/>
        <v>0.14</v>
      </c>
      <c r="I32" s="14">
        <f t="shared" si="5"/>
        <v>0.28</v>
      </c>
      <c r="K32" s="15"/>
      <c r="L32" s="16">
        <f>X32*6/16</f>
        <v>1.961578125</v>
      </c>
      <c r="M32" s="17">
        <f t="shared" si="2"/>
        <v>3.92315625</v>
      </c>
      <c r="N32" s="26" t="s">
        <v>128</v>
      </c>
      <c r="O32" s="25"/>
      <c r="P32" s="25">
        <f>4*14.5*0.5</f>
        <v>29</v>
      </c>
      <c r="Q32" s="25" t="s">
        <v>123</v>
      </c>
      <c r="R32" s="26" t="s">
        <v>124</v>
      </c>
      <c r="S32" s="25"/>
      <c r="T32" s="25">
        <f>P32*0.0975</f>
        <v>2.8275</v>
      </c>
      <c r="U32" s="25" t="s">
        <v>125</v>
      </c>
      <c r="V32" s="26" t="s">
        <v>126</v>
      </c>
      <c r="W32" s="25"/>
      <c r="X32" s="27">
        <f>T32*1.85</f>
        <v>5.230875</v>
      </c>
      <c r="Y32" s="25"/>
      <c r="Z32" s="25"/>
      <c r="AA32" s="25"/>
    </row>
    <row r="33" spans="1:27" s="12" customFormat="1" ht="15">
      <c r="A33" s="24">
        <f t="shared" si="3"/>
        <v>29</v>
      </c>
      <c r="B33" s="10" t="s">
        <v>39</v>
      </c>
      <c r="C33" s="10" t="s">
        <v>38</v>
      </c>
      <c r="D33" s="10">
        <v>1</v>
      </c>
      <c r="E33" s="13">
        <v>1</v>
      </c>
      <c r="F33" s="12" t="s">
        <v>14</v>
      </c>
      <c r="G33" s="11">
        <v>0.191</v>
      </c>
      <c r="H33" s="14">
        <f t="shared" si="4"/>
        <v>0.191</v>
      </c>
      <c r="I33" s="14">
        <f t="shared" si="5"/>
        <v>0.191</v>
      </c>
      <c r="J33" s="12" t="s">
        <v>19</v>
      </c>
      <c r="K33" s="46" t="s">
        <v>103</v>
      </c>
      <c r="L33" s="16">
        <f>35.17/20</f>
        <v>1.7585000000000002</v>
      </c>
      <c r="M33" s="17">
        <f t="shared" si="2"/>
        <v>1.7585000000000002</v>
      </c>
      <c r="N33" s="28" t="s">
        <v>129</v>
      </c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</row>
    <row r="34" spans="1:27" s="12" customFormat="1" ht="17.25">
      <c r="A34" s="24">
        <f t="shared" si="3"/>
        <v>30</v>
      </c>
      <c r="B34" s="10" t="s">
        <v>40</v>
      </c>
      <c r="C34" s="10" t="s">
        <v>38</v>
      </c>
      <c r="D34" s="10">
        <v>2</v>
      </c>
      <c r="E34" s="13">
        <v>1</v>
      </c>
      <c r="F34" s="12" t="s">
        <v>14</v>
      </c>
      <c r="G34" s="11">
        <v>0.03</v>
      </c>
      <c r="H34" s="14">
        <f t="shared" si="4"/>
        <v>0.03</v>
      </c>
      <c r="I34" s="14">
        <f t="shared" si="5"/>
        <v>0.06</v>
      </c>
      <c r="K34" s="15"/>
      <c r="L34" s="16">
        <f>X34/5</f>
        <v>0.34947656250000003</v>
      </c>
      <c r="M34" s="17">
        <f>L34*D34</f>
        <v>0.6989531250000001</v>
      </c>
      <c r="N34" s="29" t="s">
        <v>130</v>
      </c>
      <c r="O34" s="28"/>
      <c r="P34" s="30">
        <f>5*15.5/8</f>
        <v>9.6875</v>
      </c>
      <c r="Q34" s="28" t="s">
        <v>123</v>
      </c>
      <c r="R34" s="29" t="s">
        <v>124</v>
      </c>
      <c r="S34" s="28"/>
      <c r="T34" s="28">
        <f>P34*0.0975</f>
        <v>0.94453125</v>
      </c>
      <c r="U34" s="28" t="s">
        <v>125</v>
      </c>
      <c r="V34" s="29" t="s">
        <v>126</v>
      </c>
      <c r="W34" s="28"/>
      <c r="X34" s="31">
        <f>T34*1.85</f>
        <v>1.7473828125000002</v>
      </c>
      <c r="Y34" s="28"/>
      <c r="Z34" s="28"/>
      <c r="AA34" s="28"/>
    </row>
    <row r="35" spans="1:13" s="12" customFormat="1" ht="15">
      <c r="A35" s="24">
        <f t="shared" si="3"/>
        <v>31</v>
      </c>
      <c r="B35" s="10" t="s">
        <v>85</v>
      </c>
      <c r="C35" s="10" t="s">
        <v>38</v>
      </c>
      <c r="D35" s="10">
        <v>1</v>
      </c>
      <c r="E35" s="19">
        <v>1</v>
      </c>
      <c r="F35" s="10" t="s">
        <v>14</v>
      </c>
      <c r="G35" s="11">
        <v>0.28</v>
      </c>
      <c r="H35" s="14">
        <f t="shared" si="4"/>
        <v>0.28</v>
      </c>
      <c r="I35" s="14">
        <f t="shared" si="5"/>
        <v>0.28</v>
      </c>
      <c r="K35" s="15"/>
      <c r="L35" s="16"/>
      <c r="M35" s="17">
        <f aca="true" t="shared" si="6" ref="M35:M59">IF(L35&lt;1,0,L35*D35)</f>
        <v>0</v>
      </c>
    </row>
    <row r="36" spans="1:13" s="12" customFormat="1" ht="15">
      <c r="A36" s="24">
        <f t="shared" si="3"/>
        <v>32</v>
      </c>
      <c r="B36" s="10" t="s">
        <v>86</v>
      </c>
      <c r="C36" s="10" t="s">
        <v>38</v>
      </c>
      <c r="D36" s="10">
        <v>1</v>
      </c>
      <c r="E36" s="19">
        <v>1</v>
      </c>
      <c r="F36" s="10" t="s">
        <v>14</v>
      </c>
      <c r="G36" s="11">
        <v>0.24</v>
      </c>
      <c r="H36" s="14">
        <f t="shared" si="4"/>
        <v>0.24</v>
      </c>
      <c r="I36" s="14">
        <f t="shared" si="5"/>
        <v>0.24</v>
      </c>
      <c r="K36" s="15"/>
      <c r="L36" s="16"/>
      <c r="M36" s="17">
        <f t="shared" si="6"/>
        <v>0</v>
      </c>
    </row>
    <row r="37" spans="1:13" s="12" customFormat="1" ht="15">
      <c r="A37" s="24">
        <f t="shared" si="3"/>
        <v>33</v>
      </c>
      <c r="B37" s="10" t="s">
        <v>54</v>
      </c>
      <c r="C37" s="10" t="s">
        <v>162</v>
      </c>
      <c r="D37" s="10">
        <v>2</v>
      </c>
      <c r="E37" s="13">
        <v>1</v>
      </c>
      <c r="F37" s="12" t="s">
        <v>14</v>
      </c>
      <c r="G37" s="11">
        <f>0.05*0.06</f>
        <v>0.003</v>
      </c>
      <c r="H37" s="14">
        <f t="shared" si="4"/>
        <v>0.003</v>
      </c>
      <c r="I37" s="14">
        <f t="shared" si="5"/>
        <v>0.006</v>
      </c>
      <c r="J37" s="12" t="s">
        <v>19</v>
      </c>
      <c r="K37" s="18"/>
      <c r="L37" s="16">
        <v>0</v>
      </c>
      <c r="M37" s="17">
        <f t="shared" si="6"/>
        <v>0</v>
      </c>
    </row>
    <row r="38" spans="1:13" s="12" customFormat="1" ht="15">
      <c r="A38" s="24">
        <f t="shared" si="3"/>
        <v>34</v>
      </c>
      <c r="B38" s="10" t="s">
        <v>41</v>
      </c>
      <c r="C38" s="10" t="s">
        <v>42</v>
      </c>
      <c r="D38" s="10">
        <v>3</v>
      </c>
      <c r="E38" s="13">
        <v>1</v>
      </c>
      <c r="F38" s="12" t="s">
        <v>14</v>
      </c>
      <c r="G38" s="11">
        <v>0.001</v>
      </c>
      <c r="H38" s="14">
        <f t="shared" si="4"/>
        <v>0.001</v>
      </c>
      <c r="I38" s="14">
        <f t="shared" si="5"/>
        <v>0.003</v>
      </c>
      <c r="J38" s="12" t="s">
        <v>19</v>
      </c>
      <c r="K38" s="34" t="s">
        <v>43</v>
      </c>
      <c r="L38" s="16">
        <f>14.06/50</f>
        <v>0.2812</v>
      </c>
      <c r="M38" s="17">
        <f t="shared" si="6"/>
        <v>0</v>
      </c>
    </row>
    <row r="39" spans="1:13" s="12" customFormat="1" ht="15">
      <c r="A39" s="24">
        <f t="shared" si="3"/>
        <v>35</v>
      </c>
      <c r="B39" s="10" t="s">
        <v>50</v>
      </c>
      <c r="C39" s="20" t="s">
        <v>51</v>
      </c>
      <c r="D39" s="10">
        <v>4</v>
      </c>
      <c r="E39" s="13">
        <v>1</v>
      </c>
      <c r="F39" s="12" t="s">
        <v>14</v>
      </c>
      <c r="G39" s="11">
        <v>0.021</v>
      </c>
      <c r="H39" s="14">
        <f t="shared" si="4"/>
        <v>0.021</v>
      </c>
      <c r="I39" s="14">
        <f t="shared" si="5"/>
        <v>0.084</v>
      </c>
      <c r="J39" s="12" t="s">
        <v>19</v>
      </c>
      <c r="K39" s="18" t="s">
        <v>52</v>
      </c>
      <c r="L39" s="16">
        <f>7.87/100</f>
        <v>0.0787</v>
      </c>
      <c r="M39" s="17">
        <f t="shared" si="6"/>
        <v>0</v>
      </c>
    </row>
    <row r="40" spans="1:13" s="12" customFormat="1" ht="15">
      <c r="A40" s="24">
        <f t="shared" si="3"/>
        <v>36</v>
      </c>
      <c r="B40" s="10" t="s">
        <v>53</v>
      </c>
      <c r="C40" s="10" t="s">
        <v>1</v>
      </c>
      <c r="D40" s="10">
        <v>1</v>
      </c>
      <c r="E40" s="13">
        <v>1</v>
      </c>
      <c r="F40" s="12" t="s">
        <v>14</v>
      </c>
      <c r="G40" s="11">
        <v>0.017637073127714457</v>
      </c>
      <c r="H40" s="14">
        <f t="shared" si="4"/>
        <v>0.017637073127714457</v>
      </c>
      <c r="I40" s="14">
        <f t="shared" si="5"/>
        <v>0.017637073127714457</v>
      </c>
      <c r="J40" s="12" t="s">
        <v>19</v>
      </c>
      <c r="K40" s="34" t="s">
        <v>110</v>
      </c>
      <c r="L40" s="16">
        <v>2.17</v>
      </c>
      <c r="M40" s="17">
        <f t="shared" si="6"/>
        <v>2.17</v>
      </c>
    </row>
    <row r="41" spans="1:13" s="12" customFormat="1" ht="15">
      <c r="A41" s="24">
        <f t="shared" si="3"/>
        <v>37</v>
      </c>
      <c r="B41" s="10" t="s">
        <v>72</v>
      </c>
      <c r="C41" s="10" t="s">
        <v>161</v>
      </c>
      <c r="D41" s="12">
        <v>5</v>
      </c>
      <c r="E41" s="13">
        <v>1</v>
      </c>
      <c r="F41" s="10" t="s">
        <v>14</v>
      </c>
      <c r="G41" s="14">
        <f>0.0163142926431359*1.75/2</f>
        <v>0.014275006062743912</v>
      </c>
      <c r="H41" s="14">
        <f t="shared" si="4"/>
        <v>0.014275006062743912</v>
      </c>
      <c r="I41" s="14">
        <f t="shared" si="5"/>
        <v>0.07137503031371956</v>
      </c>
      <c r="J41" s="10" t="s">
        <v>19</v>
      </c>
      <c r="K41" s="44" t="s">
        <v>73</v>
      </c>
      <c r="L41" s="16">
        <v>2.25</v>
      </c>
      <c r="M41" s="17">
        <f t="shared" si="6"/>
        <v>11.25</v>
      </c>
    </row>
    <row r="42" spans="1:13" s="12" customFormat="1" ht="15">
      <c r="A42" s="24">
        <f t="shared" si="3"/>
        <v>38</v>
      </c>
      <c r="B42" s="12" t="s">
        <v>74</v>
      </c>
      <c r="C42" s="12" t="s">
        <v>121</v>
      </c>
      <c r="D42" s="12">
        <v>1</v>
      </c>
      <c r="E42" s="13">
        <v>1</v>
      </c>
      <c r="F42" s="12" t="s">
        <v>14</v>
      </c>
      <c r="G42" s="11">
        <v>0.03527414625542891</v>
      </c>
      <c r="H42" s="14">
        <f t="shared" si="4"/>
        <v>0.03527414625542891</v>
      </c>
      <c r="I42" s="14">
        <f t="shared" si="5"/>
        <v>0.03527414625542891</v>
      </c>
      <c r="J42" s="12" t="s">
        <v>120</v>
      </c>
      <c r="K42" s="15" t="s">
        <v>122</v>
      </c>
      <c r="L42" s="16">
        <v>10.88</v>
      </c>
      <c r="M42" s="17">
        <f t="shared" si="6"/>
        <v>10.88</v>
      </c>
    </row>
    <row r="43" spans="1:13" s="12" customFormat="1" ht="15">
      <c r="A43" s="24">
        <f t="shared" si="3"/>
        <v>39</v>
      </c>
      <c r="B43" s="10" t="s">
        <v>150</v>
      </c>
      <c r="C43" s="10" t="s">
        <v>151</v>
      </c>
      <c r="D43" s="10">
        <v>6</v>
      </c>
      <c r="E43" s="13">
        <v>1</v>
      </c>
      <c r="F43" s="12" t="s">
        <v>14</v>
      </c>
      <c r="G43" s="11">
        <v>0.01</v>
      </c>
      <c r="H43" s="14">
        <f t="shared" si="4"/>
        <v>0.01</v>
      </c>
      <c r="I43" s="14">
        <f t="shared" si="5"/>
        <v>0.06</v>
      </c>
      <c r="J43" s="12" t="s">
        <v>19</v>
      </c>
      <c r="K43" s="48" t="s">
        <v>152</v>
      </c>
      <c r="L43" s="16">
        <v>0.1207</v>
      </c>
      <c r="M43" s="17">
        <f t="shared" si="6"/>
        <v>0</v>
      </c>
    </row>
    <row r="44" spans="1:13" s="12" customFormat="1" ht="15">
      <c r="A44" s="24">
        <f t="shared" si="3"/>
        <v>40</v>
      </c>
      <c r="B44" s="10" t="s">
        <v>55</v>
      </c>
      <c r="C44" s="10" t="s">
        <v>56</v>
      </c>
      <c r="D44" s="10">
        <v>6</v>
      </c>
      <c r="E44" s="13">
        <v>1</v>
      </c>
      <c r="F44" s="12" t="s">
        <v>14</v>
      </c>
      <c r="G44" s="14">
        <v>0.005</v>
      </c>
      <c r="H44" s="14">
        <f t="shared" si="4"/>
        <v>0.005</v>
      </c>
      <c r="I44" s="14">
        <f t="shared" si="5"/>
        <v>0.03</v>
      </c>
      <c r="J44" s="12" t="s">
        <v>19</v>
      </c>
      <c r="K44" s="15" t="s">
        <v>57</v>
      </c>
      <c r="L44" s="16">
        <f>13.46/100</f>
        <v>0.1346</v>
      </c>
      <c r="M44" s="17">
        <f t="shared" si="6"/>
        <v>0</v>
      </c>
    </row>
    <row r="45" spans="1:13" s="12" customFormat="1" ht="15">
      <c r="A45" s="24">
        <f t="shared" si="3"/>
        <v>41</v>
      </c>
      <c r="B45" s="10" t="s">
        <v>55</v>
      </c>
      <c r="C45" s="10" t="s">
        <v>58</v>
      </c>
      <c r="D45" s="10">
        <v>6</v>
      </c>
      <c r="E45" s="13">
        <v>1</v>
      </c>
      <c r="F45" s="12" t="s">
        <v>14</v>
      </c>
      <c r="G45" s="14">
        <v>0.004</v>
      </c>
      <c r="H45" s="14">
        <f t="shared" si="4"/>
        <v>0.004</v>
      </c>
      <c r="I45" s="14">
        <f t="shared" si="5"/>
        <v>0.024</v>
      </c>
      <c r="J45" s="12" t="s">
        <v>19</v>
      </c>
      <c r="K45" s="15" t="s">
        <v>59</v>
      </c>
      <c r="L45" s="16">
        <f>12.2/100</f>
        <v>0.122</v>
      </c>
      <c r="M45" s="17">
        <f t="shared" si="6"/>
        <v>0</v>
      </c>
    </row>
    <row r="46" spans="1:13" s="12" customFormat="1" ht="15">
      <c r="A46" s="24">
        <f t="shared" si="3"/>
        <v>42</v>
      </c>
      <c r="B46" s="10" t="s">
        <v>55</v>
      </c>
      <c r="C46" s="10" t="s">
        <v>154</v>
      </c>
      <c r="D46" s="10">
        <v>4</v>
      </c>
      <c r="E46" s="13">
        <v>1</v>
      </c>
      <c r="F46" s="12" t="s">
        <v>14</v>
      </c>
      <c r="G46" s="14">
        <f>0.02*0.28</f>
        <v>0.005600000000000001</v>
      </c>
      <c r="H46" s="14">
        <f>G46*E46</f>
        <v>0.005600000000000001</v>
      </c>
      <c r="I46" s="14">
        <f>H46*D46</f>
        <v>0.022400000000000003</v>
      </c>
      <c r="J46" s="12" t="s">
        <v>19</v>
      </c>
      <c r="K46" s="18" t="s">
        <v>155</v>
      </c>
      <c r="L46" s="16">
        <f>8.93/50</f>
        <v>0.17859999999999998</v>
      </c>
      <c r="M46" s="17">
        <f t="shared" si="6"/>
        <v>0</v>
      </c>
    </row>
    <row r="47" spans="1:13" s="12" customFormat="1" ht="15">
      <c r="A47" s="24">
        <f t="shared" si="3"/>
        <v>43</v>
      </c>
      <c r="B47" s="10" t="s">
        <v>55</v>
      </c>
      <c r="C47" s="10" t="s">
        <v>156</v>
      </c>
      <c r="D47" s="10">
        <v>4</v>
      </c>
      <c r="E47" s="13">
        <v>1</v>
      </c>
      <c r="F47" s="12" t="s">
        <v>14</v>
      </c>
      <c r="G47" s="14">
        <f>0.01*0.28</f>
        <v>0.0028000000000000004</v>
      </c>
      <c r="H47" s="14">
        <f>G47*E47</f>
        <v>0.0028000000000000004</v>
      </c>
      <c r="I47" s="14">
        <f>H47*D47</f>
        <v>0.011200000000000002</v>
      </c>
      <c r="J47" s="12" t="s">
        <v>19</v>
      </c>
      <c r="K47" s="15" t="s">
        <v>157</v>
      </c>
      <c r="L47" s="16">
        <f>10.19/100</f>
        <v>0.10189999999999999</v>
      </c>
      <c r="M47" s="17">
        <f t="shared" si="6"/>
        <v>0</v>
      </c>
    </row>
    <row r="48" spans="1:13" s="12" customFormat="1" ht="15">
      <c r="A48" s="24">
        <f t="shared" si="3"/>
        <v>44</v>
      </c>
      <c r="B48" s="10" t="s">
        <v>153</v>
      </c>
      <c r="C48" s="10" t="s">
        <v>158</v>
      </c>
      <c r="D48" s="10">
        <v>4</v>
      </c>
      <c r="E48" s="13">
        <v>1</v>
      </c>
      <c r="F48" s="12" t="s">
        <v>14</v>
      </c>
      <c r="G48" s="14">
        <v>0.01</v>
      </c>
      <c r="H48" s="14">
        <f>G48*E48</f>
        <v>0.01</v>
      </c>
      <c r="I48" s="14">
        <f>H48*D48</f>
        <v>0.04</v>
      </c>
      <c r="J48" s="12" t="s">
        <v>19</v>
      </c>
      <c r="K48" s="15" t="s">
        <v>159</v>
      </c>
      <c r="L48" s="16">
        <v>0.58</v>
      </c>
      <c r="M48" s="17">
        <f t="shared" si="6"/>
        <v>0</v>
      </c>
    </row>
    <row r="49" spans="1:13" s="12" customFormat="1" ht="15">
      <c r="A49" s="24">
        <f t="shared" si="3"/>
        <v>45</v>
      </c>
      <c r="B49" s="10" t="s">
        <v>61</v>
      </c>
      <c r="C49" s="10" t="s">
        <v>62</v>
      </c>
      <c r="D49" s="10">
        <v>1</v>
      </c>
      <c r="E49" s="13">
        <v>1</v>
      </c>
      <c r="F49" s="12" t="s">
        <v>14</v>
      </c>
      <c r="G49" s="14">
        <v>0.011</v>
      </c>
      <c r="H49" s="14">
        <f t="shared" si="4"/>
        <v>0.011</v>
      </c>
      <c r="I49" s="14">
        <f t="shared" si="5"/>
        <v>0.011</v>
      </c>
      <c r="J49" s="12" t="s">
        <v>19</v>
      </c>
      <c r="K49" s="18" t="s">
        <v>63</v>
      </c>
      <c r="L49" s="16">
        <f>7.66/25</f>
        <v>0.3064</v>
      </c>
      <c r="M49" s="17">
        <f t="shared" si="6"/>
        <v>0</v>
      </c>
    </row>
    <row r="50" spans="1:13" s="12" customFormat="1" ht="15">
      <c r="A50" s="24">
        <f t="shared" si="3"/>
        <v>46</v>
      </c>
      <c r="B50" s="10" t="s">
        <v>134</v>
      </c>
      <c r="C50" s="10" t="s">
        <v>131</v>
      </c>
      <c r="D50" s="10">
        <v>1</v>
      </c>
      <c r="E50" s="13">
        <v>1</v>
      </c>
      <c r="F50" s="12" t="s">
        <v>14</v>
      </c>
      <c r="G50" s="14">
        <f>11/3/453.59</f>
        <v>0.008083658516869126</v>
      </c>
      <c r="H50" s="14">
        <f>G50*E50</f>
        <v>0.008083658516869126</v>
      </c>
      <c r="I50" s="14">
        <f>H50*D50</f>
        <v>0.008083658516869126</v>
      </c>
      <c r="J50" s="12" t="s">
        <v>132</v>
      </c>
      <c r="K50" s="15" t="s">
        <v>133</v>
      </c>
      <c r="L50" s="16">
        <v>6.75</v>
      </c>
      <c r="M50" s="17">
        <f t="shared" si="6"/>
        <v>6.75</v>
      </c>
    </row>
    <row r="51" spans="1:13" s="12" customFormat="1" ht="15">
      <c r="A51" s="24">
        <f t="shared" si="3"/>
        <v>47</v>
      </c>
      <c r="B51" s="10" t="s">
        <v>135</v>
      </c>
      <c r="C51" s="10" t="s">
        <v>69</v>
      </c>
      <c r="D51" s="10">
        <v>1</v>
      </c>
      <c r="E51" s="13">
        <v>1</v>
      </c>
      <c r="F51" s="12" t="s">
        <v>14</v>
      </c>
      <c r="G51" s="14">
        <f>5.5/453.59</f>
        <v>0.012125487775303688</v>
      </c>
      <c r="H51" s="14">
        <f>G51*E51</f>
        <v>0.012125487775303688</v>
      </c>
      <c r="I51" s="14">
        <f>H51*D51</f>
        <v>0.012125487775303688</v>
      </c>
      <c r="K51" s="18"/>
      <c r="L51" s="16"/>
      <c r="M51" s="17">
        <f t="shared" si="6"/>
        <v>0</v>
      </c>
    </row>
    <row r="52" spans="1:13" s="12" customFormat="1" ht="15">
      <c r="A52" s="24">
        <f t="shared" si="3"/>
        <v>48</v>
      </c>
      <c r="B52" s="10"/>
      <c r="C52" s="10" t="s">
        <v>136</v>
      </c>
      <c r="D52" s="10">
        <v>2</v>
      </c>
      <c r="E52" s="13">
        <v>1</v>
      </c>
      <c r="F52" s="12" t="s">
        <v>14</v>
      </c>
      <c r="G52" s="14">
        <f>4.9/453.59</f>
        <v>0.010802707290725105</v>
      </c>
      <c r="H52" s="14">
        <f>G52*E52</f>
        <v>0.010802707290725105</v>
      </c>
      <c r="I52" s="14">
        <f>H52*D52</f>
        <v>0.02160541458145021</v>
      </c>
      <c r="J52" s="10" t="s">
        <v>19</v>
      </c>
      <c r="K52" s="18" t="s">
        <v>137</v>
      </c>
      <c r="L52" s="16">
        <f>7.75/25</f>
        <v>0.31</v>
      </c>
      <c r="M52" s="17">
        <f t="shared" si="6"/>
        <v>0</v>
      </c>
    </row>
    <row r="53" spans="1:13" s="12" customFormat="1" ht="15">
      <c r="A53" s="24">
        <f t="shared" si="3"/>
        <v>49</v>
      </c>
      <c r="B53" s="10"/>
      <c r="C53" s="10" t="s">
        <v>139</v>
      </c>
      <c r="D53" s="10">
        <v>2</v>
      </c>
      <c r="E53" s="13">
        <v>1</v>
      </c>
      <c r="F53" s="12" t="s">
        <v>14</v>
      </c>
      <c r="G53" s="14">
        <f>1.5/453.59</f>
        <v>0.003306951211446461</v>
      </c>
      <c r="H53" s="14">
        <f>G53*E53</f>
        <v>0.003306951211446461</v>
      </c>
      <c r="I53" s="14">
        <f>H53*D53</f>
        <v>0.006613902422892922</v>
      </c>
      <c r="J53" s="10" t="s">
        <v>19</v>
      </c>
      <c r="K53" s="18" t="s">
        <v>138</v>
      </c>
      <c r="L53" s="16">
        <v>0.56</v>
      </c>
      <c r="M53" s="17">
        <f t="shared" si="6"/>
        <v>0</v>
      </c>
    </row>
    <row r="54" spans="1:13" s="12" customFormat="1" ht="15">
      <c r="A54" s="24">
        <f t="shared" si="3"/>
        <v>50</v>
      </c>
      <c r="C54" s="10" t="s">
        <v>99</v>
      </c>
      <c r="D54" s="12">
        <v>4</v>
      </c>
      <c r="E54" s="13">
        <v>1</v>
      </c>
      <c r="F54" s="10" t="s">
        <v>14</v>
      </c>
      <c r="G54" s="14">
        <v>0.014</v>
      </c>
      <c r="H54" s="14">
        <f aca="true" t="shared" si="7" ref="H54:H59">G54*E54</f>
        <v>0.014</v>
      </c>
      <c r="I54" s="14">
        <f aca="true" t="shared" si="8" ref="I54:I59">H54*D54</f>
        <v>0.056</v>
      </c>
      <c r="K54" s="15"/>
      <c r="L54" s="16"/>
      <c r="M54" s="17">
        <f t="shared" si="6"/>
        <v>0</v>
      </c>
    </row>
    <row r="55" spans="1:13" s="12" customFormat="1" ht="15">
      <c r="A55" s="24">
        <f t="shared" si="3"/>
        <v>51</v>
      </c>
      <c r="C55" s="12" t="s">
        <v>100</v>
      </c>
      <c r="D55" s="12">
        <v>4</v>
      </c>
      <c r="E55" s="13">
        <v>1</v>
      </c>
      <c r="F55" s="10" t="s">
        <v>14</v>
      </c>
      <c r="G55" s="14">
        <v>0.007</v>
      </c>
      <c r="H55" s="14">
        <f t="shared" si="7"/>
        <v>0.007</v>
      </c>
      <c r="I55" s="14">
        <f t="shared" si="8"/>
        <v>0.028</v>
      </c>
      <c r="K55" s="15"/>
      <c r="L55" s="16"/>
      <c r="M55" s="17">
        <f t="shared" si="6"/>
        <v>0</v>
      </c>
    </row>
    <row r="56" spans="1:13" s="12" customFormat="1" ht="15">
      <c r="A56" s="24">
        <f t="shared" si="3"/>
        <v>52</v>
      </c>
      <c r="B56" s="10"/>
      <c r="C56" s="10" t="s">
        <v>75</v>
      </c>
      <c r="D56" s="10">
        <v>2</v>
      </c>
      <c r="E56" s="19">
        <v>1</v>
      </c>
      <c r="F56" s="10" t="s">
        <v>14</v>
      </c>
      <c r="G56" s="11">
        <v>0.007</v>
      </c>
      <c r="H56" s="11">
        <f t="shared" si="7"/>
        <v>0.007</v>
      </c>
      <c r="I56" s="11">
        <f t="shared" si="8"/>
        <v>0.014</v>
      </c>
      <c r="J56" s="10" t="s">
        <v>19</v>
      </c>
      <c r="K56" s="15"/>
      <c r="L56" s="16"/>
      <c r="M56" s="17">
        <f t="shared" si="6"/>
        <v>0</v>
      </c>
    </row>
    <row r="57" spans="1:13" s="12" customFormat="1" ht="15">
      <c r="A57" s="24">
        <f t="shared" si="3"/>
        <v>53</v>
      </c>
      <c r="B57" s="10"/>
      <c r="C57" s="10" t="s">
        <v>98</v>
      </c>
      <c r="D57" s="10">
        <v>5</v>
      </c>
      <c r="E57" s="19">
        <v>1</v>
      </c>
      <c r="F57" s="10" t="s">
        <v>14</v>
      </c>
      <c r="G57" s="11">
        <v>0.023</v>
      </c>
      <c r="H57" s="11">
        <f t="shared" si="7"/>
        <v>0.023</v>
      </c>
      <c r="I57" s="11">
        <f t="shared" si="8"/>
        <v>0.11499999999999999</v>
      </c>
      <c r="J57" s="10" t="s">
        <v>19</v>
      </c>
      <c r="K57" s="44" t="s">
        <v>105</v>
      </c>
      <c r="L57" s="16">
        <v>0.619</v>
      </c>
      <c r="M57" s="17">
        <f t="shared" si="6"/>
        <v>0</v>
      </c>
    </row>
    <row r="58" spans="1:13" s="12" customFormat="1" ht="15">
      <c r="A58" s="24">
        <f t="shared" si="3"/>
        <v>54</v>
      </c>
      <c r="B58" s="10"/>
      <c r="C58" s="10" t="s">
        <v>60</v>
      </c>
      <c r="D58" s="10">
        <v>5</v>
      </c>
      <c r="E58" s="19">
        <v>1</v>
      </c>
      <c r="F58" s="10" t="s">
        <v>14</v>
      </c>
      <c r="G58" s="11">
        <v>0.006</v>
      </c>
      <c r="H58" s="11">
        <f t="shared" si="7"/>
        <v>0.006</v>
      </c>
      <c r="I58" s="11">
        <f t="shared" si="8"/>
        <v>0.03</v>
      </c>
      <c r="J58" s="12" t="s">
        <v>19</v>
      </c>
      <c r="K58" s="44" t="s">
        <v>106</v>
      </c>
      <c r="L58" s="16">
        <v>0.0281</v>
      </c>
      <c r="M58" s="17">
        <f t="shared" si="6"/>
        <v>0</v>
      </c>
    </row>
    <row r="59" spans="1:13" s="12" customFormat="1" ht="15">
      <c r="A59" s="24">
        <f t="shared" si="3"/>
        <v>55</v>
      </c>
      <c r="C59" s="21" t="s">
        <v>76</v>
      </c>
      <c r="D59" s="12">
        <v>1</v>
      </c>
      <c r="E59" s="13">
        <v>1</v>
      </c>
      <c r="F59" s="12" t="s">
        <v>14</v>
      </c>
      <c r="G59" s="14">
        <v>0.001</v>
      </c>
      <c r="H59" s="14">
        <f t="shared" si="7"/>
        <v>0.001</v>
      </c>
      <c r="I59" s="14">
        <f t="shared" si="8"/>
        <v>0.001</v>
      </c>
      <c r="J59" s="12" t="s">
        <v>19</v>
      </c>
      <c r="K59" s="18" t="s">
        <v>77</v>
      </c>
      <c r="L59" s="16">
        <f>11.72/25</f>
        <v>0.46880000000000005</v>
      </c>
      <c r="M59" s="17">
        <f t="shared" si="6"/>
        <v>0</v>
      </c>
    </row>
    <row r="60" spans="1:13" s="12" customFormat="1" ht="15">
      <c r="A60" s="24" t="s">
        <v>64</v>
      </c>
      <c r="E60" s="13"/>
      <c r="G60" s="11"/>
      <c r="H60" s="14"/>
      <c r="I60" s="14">
        <f>SUM(I5:I59)</f>
        <v>8.390706036655715</v>
      </c>
      <c r="K60" s="15"/>
      <c r="L60" s="17"/>
      <c r="M60" s="17">
        <f>SUM(M5:M59)</f>
        <v>296.47443923611104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McKown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 McKown</dc:creator>
  <cp:keywords/>
  <dc:description/>
  <cp:lastModifiedBy>Clem McKown</cp:lastModifiedBy>
  <dcterms:created xsi:type="dcterms:W3CDTF">2012-01-13T00:42:09Z</dcterms:created>
  <dcterms:modified xsi:type="dcterms:W3CDTF">2012-12-18T00:16:49Z</dcterms:modified>
  <cp:category/>
  <cp:version/>
  <cp:contentType/>
  <cp:contentStatus/>
</cp:coreProperties>
</file>