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3395" windowHeight="7740" activeTab="0"/>
  </bookViews>
  <sheets>
    <sheet name="Unit BoMs" sheetId="1" r:id="rId1"/>
  </sheets>
  <definedNames/>
  <calcPr fullCalcOnLoad="1"/>
</workbook>
</file>

<file path=xl/sharedStrings.xml><?xml version="1.0" encoding="utf-8"?>
<sst xmlns="http://schemas.openxmlformats.org/spreadsheetml/2006/main" count="273" uniqueCount="165">
  <si>
    <t>CIM Motor</t>
  </si>
  <si>
    <t>3/8" Collar</t>
  </si>
  <si>
    <t>Bill of Materials</t>
  </si>
  <si>
    <t>weight</t>
  </si>
  <si>
    <t>Vendor</t>
  </si>
  <si>
    <t>Price</t>
  </si>
  <si>
    <t>Description</t>
  </si>
  <si>
    <t>Quantity</t>
  </si>
  <si>
    <t>Subquantity</t>
  </si>
  <si>
    <t>Unit</t>
  </si>
  <si>
    <t>Piece</t>
  </si>
  <si>
    <t>Extended</t>
  </si>
  <si>
    <t>Manu</t>
  </si>
  <si>
    <t>Part #</t>
  </si>
  <si>
    <t>ea</t>
  </si>
  <si>
    <t>Name</t>
  </si>
  <si>
    <t>Plaction Wheel</t>
  </si>
  <si>
    <t>4 inch Plaction Wheel</t>
  </si>
  <si>
    <t>AndyMark</t>
  </si>
  <si>
    <t>am-0198</t>
  </si>
  <si>
    <t>Driven Pulley</t>
  </si>
  <si>
    <t>am-0217</t>
  </si>
  <si>
    <t>Driven Steering Pulley</t>
  </si>
  <si>
    <t>McMaster-Carr</t>
  </si>
  <si>
    <t>Tread</t>
  </si>
  <si>
    <t>Bearings</t>
  </si>
  <si>
    <t>3/8" Roller Bearings</t>
  </si>
  <si>
    <t>5905K22</t>
  </si>
  <si>
    <t>3/8" Flanged Bearings</t>
  </si>
  <si>
    <t>KOP/AndyMark</t>
  </si>
  <si>
    <t>am-0028</t>
  </si>
  <si>
    <t>3/8" x 1.125" OD Bearings</t>
  </si>
  <si>
    <t>KOP</t>
  </si>
  <si>
    <t>am-0209</t>
  </si>
  <si>
    <t>1" Flanged Bearings</t>
  </si>
  <si>
    <t>6384K373</t>
  </si>
  <si>
    <t>Thrust Bearing</t>
  </si>
  <si>
    <t>3/8" Thrust Bearing</t>
  </si>
  <si>
    <t>ANSI 35 9T drive Sprocket</t>
  </si>
  <si>
    <t>6280K311</t>
  </si>
  <si>
    <t>1½" ID Thrust Bearing</t>
  </si>
  <si>
    <t>6655K25</t>
  </si>
  <si>
    <t>Miter Gear</t>
  </si>
  <si>
    <t>16T 16 Diametrical Pitch</t>
  </si>
  <si>
    <t>Chain</t>
  </si>
  <si>
    <t>ANSI 35 Steel Chain - 32 links</t>
  </si>
  <si>
    <t>links</t>
  </si>
  <si>
    <t>Sponsor Fab</t>
  </si>
  <si>
    <t>Pivot Tube</t>
  </si>
  <si>
    <t>Pivot Brace</t>
  </si>
  <si>
    <t>Washer</t>
  </si>
  <si>
    <t>3/8" Acetal Washer</t>
  </si>
  <si>
    <t>95647A133</t>
  </si>
  <si>
    <t>Coax drive shaft</t>
  </si>
  <si>
    <t>3/8" steel shaft</t>
  </si>
  <si>
    <t>Transfer shaft</t>
  </si>
  <si>
    <t>Transfer shaft spacer</t>
  </si>
  <si>
    <t>Acetal</t>
  </si>
  <si>
    <t>Axle Shaft</t>
  </si>
  <si>
    <t>Axle Nut</t>
  </si>
  <si>
    <t>3/8"-16 Hex Jam Nut</t>
  </si>
  <si>
    <t>91255A548</t>
  </si>
  <si>
    <t>Axle Collar</t>
  </si>
  <si>
    <t>Axle Spacer</t>
  </si>
  <si>
    <t>PVC Pipe</t>
  </si>
  <si>
    <t>Sprocket Spacer</t>
  </si>
  <si>
    <t>Male-Female Thr'd Hex Standoff</t>
  </si>
  <si>
    <t>Bolt</t>
  </si>
  <si>
    <t>10-32 0.50" FHCS</t>
  </si>
  <si>
    <t>91253A003</t>
  </si>
  <si>
    <t>10-32 0.375 FHCS</t>
  </si>
  <si>
    <t>91253A146</t>
  </si>
  <si>
    <t>10-32 Nyloc Nut</t>
  </si>
  <si>
    <t>Retaining Ring</t>
  </si>
  <si>
    <t>1" retaining ring</t>
  </si>
  <si>
    <t>97431A380</t>
  </si>
  <si>
    <t>Total</t>
  </si>
  <si>
    <t>Steering Motor</t>
  </si>
  <si>
    <t>Steering Gearbox</t>
  </si>
  <si>
    <t>BaneBots</t>
  </si>
  <si>
    <t>Drive Belt</t>
  </si>
  <si>
    <t xml:space="preserve">Fabricated </t>
  </si>
  <si>
    <t>1/2" Flanged Bearings</t>
  </si>
  <si>
    <t>am-0030</t>
  </si>
  <si>
    <t>Standoff</t>
  </si>
  <si>
    <t>3/8" OD x 2"</t>
  </si>
  <si>
    <t>92511A032</t>
  </si>
  <si>
    <t>Encoder</t>
  </si>
  <si>
    <t>10-32 x 0.500 SHCS</t>
  </si>
  <si>
    <t>10-32 x 7/8" stud</t>
  </si>
  <si>
    <t>10-32 Locknut</t>
  </si>
  <si>
    <t>½" Acetal Washer</t>
  </si>
  <si>
    <t>95647A137</t>
  </si>
  <si>
    <t>Pivot Drive Module</t>
  </si>
  <si>
    <t>Drive Steering Pulley</t>
  </si>
  <si>
    <t>Banebots RS395</t>
  </si>
  <si>
    <t>BaneBots P60 133:1</t>
  </si>
  <si>
    <t>Drive Sprocket</t>
  </si>
  <si>
    <t>Driven Sprocket</t>
  </si>
  <si>
    <t>Drive Pulley</t>
  </si>
  <si>
    <t>Conveyor Belting</t>
  </si>
  <si>
    <t>Steering Belt</t>
  </si>
  <si>
    <t>Pivot Module Plate Bottom</t>
  </si>
  <si>
    <t>Pivot Module Plate Top</t>
  </si>
  <si>
    <t>HTD5 32T Nylon/Al</t>
  </si>
  <si>
    <t>HTD5 32T Al</t>
  </si>
  <si>
    <t>HTD5 18T Al</t>
  </si>
  <si>
    <t>HTD5 56T Nylon/Al</t>
  </si>
  <si>
    <t>Martin Gears</t>
  </si>
  <si>
    <t>M1616</t>
  </si>
  <si>
    <t>Pivot Top</t>
  </si>
  <si>
    <t>Pivot Side</t>
  </si>
  <si>
    <t>Quality Transmission Components</t>
  </si>
  <si>
    <t>3/8" x 4.5" Stud</t>
  </si>
  <si>
    <t>MSC</t>
  </si>
  <si>
    <t>10-32 x 2.50 BHCS</t>
  </si>
  <si>
    <t>¼-20 x 0.645 SHCS</t>
  </si>
  <si>
    <t>¼-20 Nylock</t>
  </si>
  <si>
    <t>QPEHTD5A15018F08</t>
  </si>
  <si>
    <t>P60K-555-0003</t>
  </si>
  <si>
    <t>8974K37</t>
  </si>
  <si>
    <t>9063K166</t>
  </si>
  <si>
    <t>93505A172</t>
  </si>
  <si>
    <t>92949A277</t>
  </si>
  <si>
    <t>90631A411</t>
  </si>
  <si>
    <t>am-0255</t>
  </si>
  <si>
    <t>6655K15</t>
  </si>
  <si>
    <t>5252T31</t>
  </si>
  <si>
    <t>6157K13</t>
  </si>
  <si>
    <t>QPEHTD5A15032F10</t>
  </si>
  <si>
    <t>QPEHTD5N15032F12</t>
  </si>
  <si>
    <t>QPEHTD5N15056F12</t>
  </si>
  <si>
    <t>QB-HTD5-0420-15</t>
  </si>
  <si>
    <t>QB-HTD5-0360-15</t>
  </si>
  <si>
    <t>5994K852</t>
  </si>
  <si>
    <t>99362A300</t>
  </si>
  <si>
    <t>74363367</t>
  </si>
  <si>
    <t>S35-24L Aluminum Sprocket</t>
  </si>
  <si>
    <t>Unit price accounts for (2) CIMs in KoP and (2) CIMs purchased from AndyMark</t>
  </si>
  <si>
    <t>HTD5 420mm</t>
  </si>
  <si>
    <t>HTD5 360mm</t>
  </si>
  <si>
    <t>Brass self-tapping thr'd inserts</t>
  </si>
  <si>
    <t>91770A147</t>
  </si>
  <si>
    <t>6-32 Truss Head SS Phillips screw (pack of 100)'</t>
  </si>
  <si>
    <t>Drive Motor</t>
  </si>
  <si>
    <t>Mouser</t>
  </si>
  <si>
    <t>Megnepot Hall Effect Sensor</t>
  </si>
  <si>
    <t>858-6127V1A360L.5FS</t>
  </si>
  <si>
    <r>
      <t>in</t>
    </r>
    <r>
      <rPr>
        <vertAlign val="superscript"/>
        <sz val="11"/>
        <rFont val="Calibri"/>
        <family val="2"/>
      </rPr>
      <t>3</t>
    </r>
  </si>
  <si>
    <r>
      <t>@ 0.975 lb/in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</rPr>
      <t xml:space="preserve"> =</t>
    </r>
  </si>
  <si>
    <t>lb</t>
  </si>
  <si>
    <t>@ $1.85/lb =</t>
  </si>
  <si>
    <t>Pivot top &amp; sides cut from 1 pc 4" x 14.5" x 1/2" donated 6061 Al - 6061 Al otherwise was purchased by team from Glicks at this time at $1.85/lb</t>
  </si>
  <si>
    <t>4" x 14.5" x 1/2" =</t>
  </si>
  <si>
    <t>Pivot braces milled from 15.5 x 5 x 1/8" 6061 Al - 5 pcs per sheet - Purchased at $1.85/lb at Glicks</t>
  </si>
  <si>
    <t>5" x 15.5" x 1/8" =</t>
  </si>
  <si>
    <t>Flex Coupling</t>
  </si>
  <si>
    <t>AutomationDirect</t>
  </si>
  <si>
    <t>GJ-6D</t>
  </si>
  <si>
    <t>Sensor Coupling</t>
  </si>
  <si>
    <t>Sensor Mount</t>
  </si>
  <si>
    <t>8-32 x 1.75 SHCS</t>
  </si>
  <si>
    <t>91251A082</t>
  </si>
  <si>
    <t>92510A470</t>
  </si>
  <si>
    <t>Al spacer 1/4" OD x 1.25"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</si>
</sst>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/d;@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26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8"/>
      <name val="Calibri"/>
      <family val="2"/>
    </font>
    <font>
      <vertAlign val="superscript"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1" fontId="0" fillId="33" borderId="0" xfId="0" applyNumberFormat="1" applyFill="1" applyAlignment="1">
      <alignment/>
    </xf>
    <xf numFmtId="164" fontId="0" fillId="33" borderId="0" xfId="0" applyNumberFormat="1" applyFill="1" applyAlignment="1">
      <alignment/>
    </xf>
    <xf numFmtId="0" fontId="0" fillId="34" borderId="0" xfId="0" applyFill="1" applyAlignment="1">
      <alignment/>
    </xf>
    <xf numFmtId="1" fontId="0" fillId="34" borderId="0" xfId="0" applyNumberFormat="1" applyFill="1" applyAlignment="1">
      <alignment/>
    </xf>
    <xf numFmtId="164" fontId="0" fillId="34" borderId="0" xfId="0" applyNumberFormat="1" applyFill="1" applyAlignment="1">
      <alignment horizontal="centerContinuous"/>
    </xf>
    <xf numFmtId="0" fontId="0" fillId="34" borderId="0" xfId="0" applyFill="1" applyAlignment="1">
      <alignment horizontal="center"/>
    </xf>
    <xf numFmtId="164" fontId="0" fillId="34" borderId="0" xfId="0" applyNumberFormat="1" applyFill="1" applyAlignment="1">
      <alignment horizontal="center"/>
    </xf>
    <xf numFmtId="0" fontId="3" fillId="33" borderId="0" xfId="0" applyFont="1" applyFill="1" applyAlignment="1">
      <alignment/>
    </xf>
    <xf numFmtId="2" fontId="3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1" fontId="4" fillId="33" borderId="0" xfId="0" applyNumberFormat="1" applyFont="1" applyFill="1" applyAlignment="1">
      <alignment/>
    </xf>
    <xf numFmtId="2" fontId="4" fillId="33" borderId="0" xfId="0" applyNumberFormat="1" applyFont="1" applyFill="1" applyAlignment="1">
      <alignment/>
    </xf>
    <xf numFmtId="49" fontId="4" fillId="33" borderId="0" xfId="0" applyNumberFormat="1" applyFont="1" applyFill="1" applyAlignment="1">
      <alignment/>
    </xf>
    <xf numFmtId="164" fontId="4" fillId="33" borderId="0" xfId="0" applyNumberFormat="1" applyFont="1" applyFill="1" applyAlignment="1">
      <alignment/>
    </xf>
    <xf numFmtId="164" fontId="4" fillId="33" borderId="0" xfId="0" applyNumberFormat="1" applyFont="1" applyFill="1" applyAlignment="1" quotePrefix="1">
      <alignment/>
    </xf>
    <xf numFmtId="49" fontId="4" fillId="33" borderId="0" xfId="0" applyNumberFormat="1" applyFont="1" applyFill="1" applyAlignment="1" quotePrefix="1">
      <alignment/>
    </xf>
    <xf numFmtId="1" fontId="3" fillId="33" borderId="0" xfId="0" applyNumberFormat="1" applyFont="1" applyFill="1" applyAlignment="1">
      <alignment/>
    </xf>
    <xf numFmtId="0" fontId="3" fillId="33" borderId="0" xfId="0" applyFont="1" applyFill="1" applyAlignment="1" quotePrefix="1">
      <alignment/>
    </xf>
    <xf numFmtId="0" fontId="4" fillId="33" borderId="0" xfId="0" applyFont="1" applyFill="1" applyAlignment="1" quotePrefix="1">
      <alignment/>
    </xf>
    <xf numFmtId="17" fontId="3" fillId="33" borderId="0" xfId="0" applyNumberFormat="1" applyFont="1" applyFill="1" applyAlignment="1">
      <alignment/>
    </xf>
    <xf numFmtId="0" fontId="0" fillId="33" borderId="0" xfId="0" applyFill="1" applyAlignment="1">
      <alignment horizontal="center"/>
    </xf>
    <xf numFmtId="0" fontId="3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4" fillId="35" borderId="0" xfId="0" applyFont="1" applyFill="1" applyAlignment="1">
      <alignment/>
    </xf>
    <xf numFmtId="0" fontId="4" fillId="35" borderId="0" xfId="0" applyFont="1" applyFill="1" applyAlignment="1" quotePrefix="1">
      <alignment/>
    </xf>
    <xf numFmtId="164" fontId="4" fillId="35" borderId="0" xfId="0" applyNumberFormat="1" applyFont="1" applyFill="1" applyAlignment="1">
      <alignment/>
    </xf>
    <xf numFmtId="0" fontId="4" fillId="36" borderId="0" xfId="0" applyFont="1" applyFill="1" applyAlignment="1">
      <alignment/>
    </xf>
    <xf numFmtId="0" fontId="4" fillId="36" borderId="0" xfId="0" applyFont="1" applyFill="1" applyAlignment="1" quotePrefix="1">
      <alignment/>
    </xf>
    <xf numFmtId="2" fontId="4" fillId="36" borderId="0" xfId="0" applyNumberFormat="1" applyFont="1" applyFill="1" applyAlignment="1">
      <alignment/>
    </xf>
    <xf numFmtId="164" fontId="4" fillId="36" borderId="0" xfId="0" applyNumberFormat="1" applyFont="1" applyFill="1" applyAlignment="1">
      <alignment/>
    </xf>
    <xf numFmtId="0" fontId="4" fillId="37" borderId="0" xfId="0" applyFont="1" applyFill="1" applyAlignment="1">
      <alignment/>
    </xf>
    <xf numFmtId="2" fontId="4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49" fontId="4" fillId="33" borderId="0" xfId="0" applyNumberFormat="1" applyFont="1" applyFill="1" applyAlignment="1">
      <alignment/>
    </xf>
    <xf numFmtId="164" fontId="4" fillId="33" borderId="0" xfId="0" applyNumberFormat="1" applyFont="1" applyFill="1" applyAlignment="1">
      <alignment/>
    </xf>
    <xf numFmtId="2" fontId="4" fillId="34" borderId="0" xfId="0" applyNumberFormat="1" applyFont="1" applyFill="1" applyAlignment="1">
      <alignment horizontal="centerContinuous"/>
    </xf>
    <xf numFmtId="0" fontId="4" fillId="34" borderId="0" xfId="0" applyFont="1" applyFill="1" applyAlignment="1">
      <alignment horizontal="centerContinuous"/>
    </xf>
    <xf numFmtId="49" fontId="4" fillId="34" borderId="0" xfId="0" applyNumberFormat="1" applyFont="1" applyFill="1" applyAlignment="1">
      <alignment horizontal="centerContinuous"/>
    </xf>
    <xf numFmtId="164" fontId="4" fillId="34" borderId="0" xfId="0" applyNumberFormat="1" applyFont="1" applyFill="1" applyAlignment="1">
      <alignment horizontal="centerContinuous"/>
    </xf>
    <xf numFmtId="2" fontId="4" fillId="34" borderId="0" xfId="0" applyNumberFormat="1" applyFont="1" applyFill="1" applyAlignment="1">
      <alignment horizontal="center"/>
    </xf>
    <xf numFmtId="49" fontId="4" fillId="34" borderId="0" xfId="0" applyNumberFormat="1" applyFont="1" applyFill="1" applyAlignment="1">
      <alignment horizontal="center"/>
    </xf>
    <xf numFmtId="164" fontId="4" fillId="34" borderId="0" xfId="0" applyNumberFormat="1" applyFont="1" applyFill="1" applyAlignment="1">
      <alignment horizontal="center"/>
    </xf>
    <xf numFmtId="2" fontId="4" fillId="0" borderId="0" xfId="0" applyNumberFormat="1" applyFont="1" applyAlignment="1">
      <alignment/>
    </xf>
    <xf numFmtId="49" fontId="4" fillId="33" borderId="0" xfId="0" applyNumberFormat="1" applyFont="1" applyFill="1" applyAlignment="1">
      <alignment horizontal="left"/>
    </xf>
    <xf numFmtId="49" fontId="4" fillId="0" borderId="0" xfId="0" applyNumberFormat="1" applyFont="1" applyAlignment="1" quotePrefix="1">
      <alignment/>
    </xf>
    <xf numFmtId="49" fontId="4" fillId="0" borderId="0" xfId="0" applyNumberFormat="1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9.140625" style="23" customWidth="1"/>
    <col min="2" max="2" width="20.28125" style="2" bestFit="1" customWidth="1"/>
    <col min="3" max="3" width="26.421875" style="2" bestFit="1" customWidth="1"/>
    <col min="4" max="4" width="9.140625" style="2" customWidth="1"/>
    <col min="5" max="5" width="10.8515625" style="2" bestFit="1" customWidth="1"/>
    <col min="6" max="6" width="9.140625" style="2" customWidth="1"/>
    <col min="7" max="12" width="9.140625" style="35" customWidth="1"/>
    <col min="13" max="16384" width="9.140625" style="2" customWidth="1"/>
  </cols>
  <sheetData>
    <row r="1" spans="1:13" ht="33">
      <c r="A1" s="1" t="s">
        <v>2</v>
      </c>
      <c r="E1" s="3"/>
      <c r="G1" s="34"/>
      <c r="H1" s="34"/>
      <c r="I1" s="34"/>
      <c r="K1" s="36"/>
      <c r="L1" s="37"/>
      <c r="M1" s="4"/>
    </row>
    <row r="2" spans="5:13" ht="15">
      <c r="E2" s="3"/>
      <c r="G2" s="34"/>
      <c r="H2" s="34"/>
      <c r="I2" s="34"/>
      <c r="J2" s="34"/>
      <c r="K2" s="36"/>
      <c r="L2" s="37"/>
      <c r="M2" s="4"/>
    </row>
    <row r="3" spans="1:13" ht="15">
      <c r="A3" s="5" t="s">
        <v>93</v>
      </c>
      <c r="B3" s="5"/>
      <c r="C3" s="5"/>
      <c r="D3" s="5"/>
      <c r="E3" s="6"/>
      <c r="F3" s="5"/>
      <c r="G3" s="38" t="s">
        <v>3</v>
      </c>
      <c r="H3" s="38"/>
      <c r="I3" s="38"/>
      <c r="J3" s="39" t="s">
        <v>4</v>
      </c>
      <c r="K3" s="40"/>
      <c r="L3" s="41" t="s">
        <v>5</v>
      </c>
      <c r="M3" s="7"/>
    </row>
    <row r="4" spans="1:13" ht="15">
      <c r="A4" s="8"/>
      <c r="B4" s="5" t="s">
        <v>15</v>
      </c>
      <c r="C4" s="5" t="s">
        <v>6</v>
      </c>
      <c r="D4" s="5" t="s">
        <v>7</v>
      </c>
      <c r="E4" s="6" t="s">
        <v>8</v>
      </c>
      <c r="F4" s="5" t="s">
        <v>9</v>
      </c>
      <c r="G4" s="42" t="s">
        <v>9</v>
      </c>
      <c r="H4" s="42" t="s">
        <v>10</v>
      </c>
      <c r="I4" s="42" t="s">
        <v>11</v>
      </c>
      <c r="J4" s="42" t="s">
        <v>12</v>
      </c>
      <c r="K4" s="43" t="s">
        <v>13</v>
      </c>
      <c r="L4" s="44" t="s">
        <v>9</v>
      </c>
      <c r="M4" s="9" t="s">
        <v>11</v>
      </c>
    </row>
    <row r="5" spans="1:13" s="12" customFormat="1" ht="15">
      <c r="A5" s="24">
        <v>1</v>
      </c>
      <c r="B5" s="10" t="s">
        <v>16</v>
      </c>
      <c r="C5" s="10" t="s">
        <v>17</v>
      </c>
      <c r="D5" s="10">
        <v>1</v>
      </c>
      <c r="E5" s="13">
        <v>1</v>
      </c>
      <c r="F5" s="12" t="s">
        <v>14</v>
      </c>
      <c r="G5" s="45">
        <v>0.44489516964659714</v>
      </c>
      <c r="H5" s="14">
        <f aca="true" t="shared" si="0" ref="H5:H15">G5*E5</f>
        <v>0.44489516964659714</v>
      </c>
      <c r="I5" s="14">
        <f aca="true" t="shared" si="1" ref="I5:I15">H5*D5</f>
        <v>0.44489516964659714</v>
      </c>
      <c r="J5" s="12" t="s">
        <v>18</v>
      </c>
      <c r="K5" s="46" t="s">
        <v>19</v>
      </c>
      <c r="L5" s="16">
        <v>22</v>
      </c>
      <c r="M5" s="17">
        <f>IF(L5&lt;1,0,L5*D5)</f>
        <v>22</v>
      </c>
    </row>
    <row r="6" spans="1:13" s="12" customFormat="1" ht="15">
      <c r="A6" s="25">
        <f>1+A5</f>
        <v>2</v>
      </c>
      <c r="B6" s="10" t="s">
        <v>24</v>
      </c>
      <c r="C6" s="10" t="s">
        <v>100</v>
      </c>
      <c r="D6" s="10">
        <v>1</v>
      </c>
      <c r="E6" s="13">
        <v>1</v>
      </c>
      <c r="F6" s="12" t="s">
        <v>14</v>
      </c>
      <c r="G6" s="14">
        <v>0.1019643290195992</v>
      </c>
      <c r="H6" s="14">
        <f t="shared" si="0"/>
        <v>0.1019643290195992</v>
      </c>
      <c r="I6" s="14">
        <f t="shared" si="1"/>
        <v>0.1019643290195992</v>
      </c>
      <c r="J6" s="12" t="s">
        <v>23</v>
      </c>
      <c r="K6" s="36" t="s">
        <v>134</v>
      </c>
      <c r="L6" s="16">
        <f>32.05/20</f>
        <v>1.6024999999999998</v>
      </c>
      <c r="M6" s="17">
        <f>IF(L6&lt;1,0,L6*D6)</f>
        <v>1.6024999999999998</v>
      </c>
    </row>
    <row r="7" spans="1:27" s="12" customFormat="1" ht="15">
      <c r="A7" s="25">
        <f aca="true" t="shared" si="2" ref="A7:A60">1+A6</f>
        <v>3</v>
      </c>
      <c r="B7" s="12" t="s">
        <v>144</v>
      </c>
      <c r="C7" s="12" t="s">
        <v>0</v>
      </c>
      <c r="D7" s="12">
        <v>1</v>
      </c>
      <c r="E7" s="13">
        <v>1</v>
      </c>
      <c r="F7" s="12" t="s">
        <v>14</v>
      </c>
      <c r="G7" s="14">
        <v>2.821931700434313</v>
      </c>
      <c r="H7" s="14">
        <f t="shared" si="0"/>
        <v>2.821931700434313</v>
      </c>
      <c r="I7" s="14">
        <f t="shared" si="1"/>
        <v>2.821931700434313</v>
      </c>
      <c r="J7" s="12" t="s">
        <v>29</v>
      </c>
      <c r="K7" s="36" t="s">
        <v>125</v>
      </c>
      <c r="L7" s="16">
        <f>25/2</f>
        <v>12.5</v>
      </c>
      <c r="M7" s="17">
        <f>IF(L7&lt;1,0,L7*D7)</f>
        <v>12.5</v>
      </c>
      <c r="N7" s="33" t="s">
        <v>138</v>
      </c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</row>
    <row r="8" spans="1:13" s="12" customFormat="1" ht="15">
      <c r="A8" s="25">
        <f t="shared" si="2"/>
        <v>4</v>
      </c>
      <c r="B8" s="10" t="s">
        <v>77</v>
      </c>
      <c r="C8" s="10" t="s">
        <v>95</v>
      </c>
      <c r="D8" s="12">
        <v>1</v>
      </c>
      <c r="E8" s="13">
        <v>1</v>
      </c>
      <c r="F8" s="12" t="s">
        <v>14</v>
      </c>
      <c r="G8" s="14">
        <v>0.2116448775325735</v>
      </c>
      <c r="H8" s="14">
        <f t="shared" si="0"/>
        <v>0.2116448775325735</v>
      </c>
      <c r="I8" s="14">
        <f t="shared" si="1"/>
        <v>0.2116448775325735</v>
      </c>
      <c r="J8" s="12" t="s">
        <v>32</v>
      </c>
      <c r="K8" s="15"/>
      <c r="L8" s="16">
        <v>0</v>
      </c>
      <c r="M8" s="17">
        <f>IF(L8&lt;1,0,L8*D8)</f>
        <v>0</v>
      </c>
    </row>
    <row r="9" spans="1:13" s="12" customFormat="1" ht="15">
      <c r="A9" s="25">
        <f t="shared" si="2"/>
        <v>5</v>
      </c>
      <c r="B9" s="10" t="s">
        <v>78</v>
      </c>
      <c r="C9" s="10" t="s">
        <v>96</v>
      </c>
      <c r="D9" s="12">
        <v>1</v>
      </c>
      <c r="E9" s="13">
        <v>1</v>
      </c>
      <c r="F9" s="12" t="s">
        <v>14</v>
      </c>
      <c r="G9" s="14">
        <v>0.6305253643157919</v>
      </c>
      <c r="H9" s="14">
        <f t="shared" si="0"/>
        <v>0.6305253643157919</v>
      </c>
      <c r="I9" s="14">
        <f t="shared" si="1"/>
        <v>0.6305253643157919</v>
      </c>
      <c r="J9" s="12" t="s">
        <v>79</v>
      </c>
      <c r="K9" s="46" t="s">
        <v>119</v>
      </c>
      <c r="L9" s="16">
        <v>64.5</v>
      </c>
      <c r="M9" s="17">
        <f>IF(L9&lt;1,0,L9*D9)</f>
        <v>64.5</v>
      </c>
    </row>
    <row r="10" spans="1:13" s="12" customFormat="1" ht="15">
      <c r="A10" s="25">
        <f t="shared" si="2"/>
        <v>6</v>
      </c>
      <c r="B10" s="10" t="s">
        <v>97</v>
      </c>
      <c r="C10" s="10" t="s">
        <v>38</v>
      </c>
      <c r="D10" s="10">
        <v>1</v>
      </c>
      <c r="E10" s="13">
        <v>1</v>
      </c>
      <c r="F10" s="12" t="s">
        <v>14</v>
      </c>
      <c r="G10" s="14">
        <v>0.09645274366718844</v>
      </c>
      <c r="H10" s="14">
        <f t="shared" si="0"/>
        <v>0.09645274366718844</v>
      </c>
      <c r="I10" s="14">
        <f t="shared" si="1"/>
        <v>0.09645274366718844</v>
      </c>
      <c r="J10" s="12" t="s">
        <v>23</v>
      </c>
      <c r="K10" s="46" t="s">
        <v>39</v>
      </c>
      <c r="L10" s="16">
        <v>8.92</v>
      </c>
      <c r="M10" s="17">
        <f>IF(L10&lt;1,0,L10*D10)</f>
        <v>8.92</v>
      </c>
    </row>
    <row r="11" spans="1:13" s="12" customFormat="1" ht="15">
      <c r="A11" s="25">
        <f t="shared" si="2"/>
        <v>7</v>
      </c>
      <c r="B11" s="10" t="s">
        <v>98</v>
      </c>
      <c r="C11" s="10" t="s">
        <v>137</v>
      </c>
      <c r="D11" s="10">
        <v>1</v>
      </c>
      <c r="E11" s="13">
        <v>1</v>
      </c>
      <c r="F11" s="12" t="s">
        <v>14</v>
      </c>
      <c r="G11" s="14">
        <v>0.057871646200313064</v>
      </c>
      <c r="H11" s="14">
        <f t="shared" si="0"/>
        <v>0.057871646200313064</v>
      </c>
      <c r="I11" s="14">
        <f t="shared" si="1"/>
        <v>0.057871646200313064</v>
      </c>
      <c r="J11" s="12" t="s">
        <v>18</v>
      </c>
      <c r="K11" s="36" t="s">
        <v>21</v>
      </c>
      <c r="L11" s="16">
        <v>11</v>
      </c>
      <c r="M11" s="17">
        <f>IF(L11&lt;1,0,L11*D11)</f>
        <v>11</v>
      </c>
    </row>
    <row r="12" spans="1:13" s="12" customFormat="1" ht="15">
      <c r="A12" s="25">
        <f t="shared" si="2"/>
        <v>8</v>
      </c>
      <c r="B12" s="10" t="s">
        <v>44</v>
      </c>
      <c r="C12" s="10" t="s">
        <v>45</v>
      </c>
      <c r="D12" s="10">
        <v>1</v>
      </c>
      <c r="E12" s="13">
        <v>32</v>
      </c>
      <c r="F12" s="12" t="s">
        <v>46</v>
      </c>
      <c r="G12" s="11">
        <f>0.70875*1/108</f>
        <v>0.0065625</v>
      </c>
      <c r="H12" s="14">
        <f t="shared" si="0"/>
        <v>0.21</v>
      </c>
      <c r="I12" s="14">
        <f t="shared" si="1"/>
        <v>0.21</v>
      </c>
      <c r="J12" s="12" t="s">
        <v>32</v>
      </c>
      <c r="K12" s="15"/>
      <c r="L12" s="16"/>
      <c r="M12" s="17">
        <f>IF(L12&lt;1,0,L12*D12)</f>
        <v>0</v>
      </c>
    </row>
    <row r="13" spans="1:13" s="12" customFormat="1" ht="15">
      <c r="A13" s="25">
        <f t="shared" si="2"/>
        <v>9</v>
      </c>
      <c r="B13" s="10" t="s">
        <v>94</v>
      </c>
      <c r="C13" s="10" t="s">
        <v>104</v>
      </c>
      <c r="D13" s="10">
        <v>1</v>
      </c>
      <c r="E13" s="19">
        <v>1</v>
      </c>
      <c r="F13" s="10" t="s">
        <v>14</v>
      </c>
      <c r="G13" s="11">
        <v>0.13668731673978704</v>
      </c>
      <c r="H13" s="14">
        <f t="shared" si="0"/>
        <v>0.13668731673978704</v>
      </c>
      <c r="I13" s="14">
        <f t="shared" si="1"/>
        <v>0.13668731673978704</v>
      </c>
      <c r="J13" s="12" t="s">
        <v>112</v>
      </c>
      <c r="K13" s="36" t="s">
        <v>130</v>
      </c>
      <c r="L13" s="16">
        <v>9.73</v>
      </c>
      <c r="M13" s="17">
        <f>IF(L13&lt;1,0,L13*D13)</f>
        <v>9.73</v>
      </c>
    </row>
    <row r="14" spans="1:13" s="12" customFormat="1" ht="15">
      <c r="A14" s="25">
        <f t="shared" si="2"/>
        <v>10</v>
      </c>
      <c r="B14" s="10" t="s">
        <v>22</v>
      </c>
      <c r="C14" s="10" t="s">
        <v>105</v>
      </c>
      <c r="D14" s="10">
        <v>1</v>
      </c>
      <c r="E14" s="13">
        <v>1</v>
      </c>
      <c r="F14" s="12" t="s">
        <v>14</v>
      </c>
      <c r="G14" s="14">
        <v>0.1923543287991358</v>
      </c>
      <c r="H14" s="14">
        <f t="shared" si="0"/>
        <v>0.1923543287991358</v>
      </c>
      <c r="I14" s="14">
        <f t="shared" si="1"/>
        <v>0.1923543287991358</v>
      </c>
      <c r="J14" s="12" t="s">
        <v>112</v>
      </c>
      <c r="K14" s="36" t="s">
        <v>129</v>
      </c>
      <c r="L14" s="16">
        <v>12.01</v>
      </c>
      <c r="M14" s="17">
        <f>IF(L14&lt;1,0,L14*D14)</f>
        <v>12.01</v>
      </c>
    </row>
    <row r="15" spans="1:13" s="12" customFormat="1" ht="15">
      <c r="A15" s="25">
        <f t="shared" si="2"/>
        <v>11</v>
      </c>
      <c r="B15" s="10" t="s">
        <v>101</v>
      </c>
      <c r="C15" s="10" t="s">
        <v>140</v>
      </c>
      <c r="D15" s="10">
        <v>1</v>
      </c>
      <c r="E15" s="19">
        <v>1</v>
      </c>
      <c r="F15" s="10" t="s">
        <v>14</v>
      </c>
      <c r="G15" s="11">
        <v>0.04850195110121475</v>
      </c>
      <c r="H15" s="14">
        <f t="shared" si="0"/>
        <v>0.04850195110121475</v>
      </c>
      <c r="I15" s="14">
        <f t="shared" si="1"/>
        <v>0.04850195110121475</v>
      </c>
      <c r="J15" s="12" t="s">
        <v>112</v>
      </c>
      <c r="K15" s="36" t="s">
        <v>133</v>
      </c>
      <c r="L15" s="16">
        <v>6.15</v>
      </c>
      <c r="M15" s="17">
        <f>IF(L15&lt;1,0,L15*D15)</f>
        <v>6.15</v>
      </c>
    </row>
    <row r="16" spans="1:13" s="12" customFormat="1" ht="15">
      <c r="A16" s="25">
        <f t="shared" si="2"/>
        <v>12</v>
      </c>
      <c r="B16" s="10" t="s">
        <v>99</v>
      </c>
      <c r="C16" s="10" t="s">
        <v>106</v>
      </c>
      <c r="D16" s="10">
        <v>1</v>
      </c>
      <c r="E16" s="13">
        <v>1</v>
      </c>
      <c r="F16" s="12" t="s">
        <v>14</v>
      </c>
      <c r="G16" s="14">
        <v>0.06834365836989352</v>
      </c>
      <c r="H16" s="14">
        <f>G16*E16</f>
        <v>0.06834365836989352</v>
      </c>
      <c r="I16" s="14">
        <f>H16*D16</f>
        <v>0.06834365836989352</v>
      </c>
      <c r="J16" s="12" t="s">
        <v>112</v>
      </c>
      <c r="K16" s="36" t="s">
        <v>118</v>
      </c>
      <c r="L16" s="16">
        <v>7.13</v>
      </c>
      <c r="M16" s="17">
        <f>IF(L16&lt;1,0,L16*D16)</f>
        <v>7.13</v>
      </c>
    </row>
    <row r="17" spans="1:13" s="12" customFormat="1" ht="15">
      <c r="A17" s="25">
        <f t="shared" si="2"/>
        <v>13</v>
      </c>
      <c r="B17" s="10" t="s">
        <v>20</v>
      </c>
      <c r="C17" s="10" t="s">
        <v>107</v>
      </c>
      <c r="D17" s="10">
        <v>1</v>
      </c>
      <c r="E17" s="13">
        <v>1</v>
      </c>
      <c r="F17" s="12" t="s">
        <v>14</v>
      </c>
      <c r="G17" s="14">
        <v>0.3053418285235565</v>
      </c>
      <c r="H17" s="14">
        <f aca="true" t="shared" si="3" ref="H17:H46">G17*E17</f>
        <v>0.3053418285235565</v>
      </c>
      <c r="I17" s="14">
        <f aca="true" t="shared" si="4" ref="I17:I46">H17*D17</f>
        <v>0.3053418285235565</v>
      </c>
      <c r="J17" s="12" t="s">
        <v>112</v>
      </c>
      <c r="K17" s="36" t="s">
        <v>131</v>
      </c>
      <c r="L17" s="16">
        <v>12.98</v>
      </c>
      <c r="M17" s="17">
        <f>IF(L17&lt;1,0,L17*D17)</f>
        <v>12.98</v>
      </c>
    </row>
    <row r="18" spans="1:13" s="12" customFormat="1" ht="15">
      <c r="A18" s="25">
        <f t="shared" si="2"/>
        <v>14</v>
      </c>
      <c r="B18" s="10" t="s">
        <v>80</v>
      </c>
      <c r="C18" s="10" t="s">
        <v>139</v>
      </c>
      <c r="D18" s="10">
        <v>1</v>
      </c>
      <c r="E18" s="19">
        <v>1</v>
      </c>
      <c r="F18" s="10" t="s">
        <v>14</v>
      </c>
      <c r="G18" s="11">
        <v>0.05379307303952909</v>
      </c>
      <c r="H18" s="14">
        <f t="shared" si="3"/>
        <v>0.05379307303952909</v>
      </c>
      <c r="I18" s="14">
        <f t="shared" si="4"/>
        <v>0.05379307303952909</v>
      </c>
      <c r="J18" s="12" t="s">
        <v>112</v>
      </c>
      <c r="K18" s="36" t="s">
        <v>132</v>
      </c>
      <c r="L18" s="16">
        <v>6.79</v>
      </c>
      <c r="M18" s="17">
        <f>IF(L18&lt;1,0,L18*D18)</f>
        <v>6.79</v>
      </c>
    </row>
    <row r="19" spans="1:13" s="12" customFormat="1" ht="15">
      <c r="A19" s="25">
        <f t="shared" si="2"/>
        <v>15</v>
      </c>
      <c r="B19" s="10" t="s">
        <v>42</v>
      </c>
      <c r="C19" s="10" t="s">
        <v>43</v>
      </c>
      <c r="D19" s="10">
        <v>2</v>
      </c>
      <c r="E19" s="13">
        <v>1</v>
      </c>
      <c r="F19" s="12" t="s">
        <v>14</v>
      </c>
      <c r="G19" s="14">
        <v>0.07661103639850968</v>
      </c>
      <c r="H19" s="14">
        <f t="shared" si="3"/>
        <v>0.07661103639850968</v>
      </c>
      <c r="I19" s="14">
        <f t="shared" si="4"/>
        <v>0.15322207279701935</v>
      </c>
      <c r="J19" s="12" t="s">
        <v>108</v>
      </c>
      <c r="K19" s="15" t="s">
        <v>109</v>
      </c>
      <c r="L19" s="16">
        <v>17.6</v>
      </c>
      <c r="M19" s="17">
        <f>IF(L19&lt;1,0,L19*D19)</f>
        <v>35.2</v>
      </c>
    </row>
    <row r="20" spans="1:13" s="12" customFormat="1" ht="15">
      <c r="A20" s="25">
        <f t="shared" si="2"/>
        <v>16</v>
      </c>
      <c r="B20" s="10" t="s">
        <v>25</v>
      </c>
      <c r="C20" s="10" t="s">
        <v>34</v>
      </c>
      <c r="D20" s="12">
        <v>2</v>
      </c>
      <c r="E20" s="13">
        <v>1</v>
      </c>
      <c r="F20" s="12" t="s">
        <v>14</v>
      </c>
      <c r="G20" s="11">
        <v>0.2623514627747525</v>
      </c>
      <c r="H20" s="14">
        <f t="shared" si="3"/>
        <v>0.2623514627747525</v>
      </c>
      <c r="I20" s="14">
        <f t="shared" si="4"/>
        <v>0.524702925549505</v>
      </c>
      <c r="J20" s="12" t="s">
        <v>23</v>
      </c>
      <c r="K20" s="46" t="s">
        <v>35</v>
      </c>
      <c r="L20" s="16">
        <v>18.34</v>
      </c>
      <c r="M20" s="17">
        <f>IF(L20&lt;1,0,L20*D20)</f>
        <v>36.68</v>
      </c>
    </row>
    <row r="21" spans="1:13" s="12" customFormat="1" ht="15">
      <c r="A21" s="25">
        <f t="shared" si="2"/>
        <v>17</v>
      </c>
      <c r="B21" s="10" t="s">
        <v>36</v>
      </c>
      <c r="C21" s="10" t="s">
        <v>40</v>
      </c>
      <c r="D21" s="10">
        <v>1</v>
      </c>
      <c r="E21" s="13">
        <v>1</v>
      </c>
      <c r="F21" s="12" t="s">
        <v>14</v>
      </c>
      <c r="G21" s="14">
        <v>0.07936682907471505</v>
      </c>
      <c r="H21" s="14">
        <f t="shared" si="3"/>
        <v>0.07936682907471505</v>
      </c>
      <c r="I21" s="14">
        <f t="shared" si="4"/>
        <v>0.07936682907471505</v>
      </c>
      <c r="J21" s="12" t="s">
        <v>23</v>
      </c>
      <c r="K21" s="36" t="s">
        <v>41</v>
      </c>
      <c r="L21" s="16">
        <v>10.82</v>
      </c>
      <c r="M21" s="17">
        <f>IF(L21&lt;1,0,L21*D21)</f>
        <v>10.82</v>
      </c>
    </row>
    <row r="22" spans="1:13" s="12" customFormat="1" ht="15">
      <c r="A22" s="25">
        <f t="shared" si="2"/>
        <v>18</v>
      </c>
      <c r="B22" s="10" t="s">
        <v>25</v>
      </c>
      <c r="C22" s="10" t="s">
        <v>82</v>
      </c>
      <c r="D22" s="10">
        <v>1</v>
      </c>
      <c r="E22" s="19">
        <v>1</v>
      </c>
      <c r="F22" s="10" t="s">
        <v>14</v>
      </c>
      <c r="G22" s="11">
        <v>0.04850195110121475</v>
      </c>
      <c r="H22" s="14">
        <f t="shared" si="3"/>
        <v>0.04850195110121475</v>
      </c>
      <c r="I22" s="14">
        <f t="shared" si="4"/>
        <v>0.04850195110121475</v>
      </c>
      <c r="J22" s="12" t="s">
        <v>18</v>
      </c>
      <c r="K22" s="15" t="s">
        <v>83</v>
      </c>
      <c r="L22" s="16">
        <v>7</v>
      </c>
      <c r="M22" s="17">
        <f>IF(L22&lt;1,0,L22*D22)</f>
        <v>7</v>
      </c>
    </row>
    <row r="23" spans="1:13" s="12" customFormat="1" ht="15">
      <c r="A23" s="25">
        <f t="shared" si="2"/>
        <v>19</v>
      </c>
      <c r="B23" s="10" t="s">
        <v>25</v>
      </c>
      <c r="C23" s="10" t="s">
        <v>28</v>
      </c>
      <c r="D23" s="10">
        <v>2</v>
      </c>
      <c r="E23" s="13">
        <v>1</v>
      </c>
      <c r="F23" s="12" t="s">
        <v>14</v>
      </c>
      <c r="G23" s="11">
        <v>0.026455609691571687</v>
      </c>
      <c r="H23" s="14">
        <f t="shared" si="3"/>
        <v>0.026455609691571687</v>
      </c>
      <c r="I23" s="14">
        <f t="shared" si="4"/>
        <v>0.052911219383143374</v>
      </c>
      <c r="J23" s="12" t="s">
        <v>18</v>
      </c>
      <c r="K23" s="15" t="s">
        <v>30</v>
      </c>
      <c r="L23" s="16">
        <v>4.5</v>
      </c>
      <c r="M23" s="17">
        <f>IF(L23&lt;1,0,L23*D23)</f>
        <v>9</v>
      </c>
    </row>
    <row r="24" spans="1:13" s="12" customFormat="1" ht="15">
      <c r="A24" s="25">
        <f t="shared" si="2"/>
        <v>20</v>
      </c>
      <c r="B24" s="10" t="s">
        <v>25</v>
      </c>
      <c r="C24" s="10" t="s">
        <v>26</v>
      </c>
      <c r="D24" s="10">
        <v>2</v>
      </c>
      <c r="E24" s="13">
        <v>1</v>
      </c>
      <c r="F24" s="12" t="s">
        <v>14</v>
      </c>
      <c r="G24" s="11">
        <v>0.01234595118940012</v>
      </c>
      <c r="H24" s="14">
        <f t="shared" si="3"/>
        <v>0.01234595118940012</v>
      </c>
      <c r="I24" s="14">
        <f t="shared" si="4"/>
        <v>0.02469190237880024</v>
      </c>
      <c r="J24" s="12" t="s">
        <v>23</v>
      </c>
      <c r="K24" s="36" t="s">
        <v>27</v>
      </c>
      <c r="L24" s="16">
        <v>4.8</v>
      </c>
      <c r="M24" s="17">
        <f>IF(L24&lt;1,0,L24*D24)</f>
        <v>9.6</v>
      </c>
    </row>
    <row r="25" spans="1:13" s="12" customFormat="1" ht="15">
      <c r="A25" s="25">
        <f t="shared" si="2"/>
        <v>21</v>
      </c>
      <c r="B25" s="10" t="s">
        <v>25</v>
      </c>
      <c r="C25" s="10" t="s">
        <v>31</v>
      </c>
      <c r="D25" s="10">
        <v>2</v>
      </c>
      <c r="E25" s="13">
        <v>1</v>
      </c>
      <c r="F25" s="12" t="s">
        <v>14</v>
      </c>
      <c r="G25" s="11">
        <v>0.06349346325977205</v>
      </c>
      <c r="H25" s="14">
        <f t="shared" si="3"/>
        <v>0.06349346325977205</v>
      </c>
      <c r="I25" s="14">
        <f t="shared" si="4"/>
        <v>0.1269869265195441</v>
      </c>
      <c r="J25" s="12" t="s">
        <v>32</v>
      </c>
      <c r="K25" s="15" t="s">
        <v>33</v>
      </c>
      <c r="L25" s="16">
        <v>0</v>
      </c>
      <c r="M25" s="17">
        <f>IF(L25&lt;1,0,L25*D25)</f>
        <v>0</v>
      </c>
    </row>
    <row r="26" spans="1:13" s="12" customFormat="1" ht="15">
      <c r="A26" s="25">
        <f t="shared" si="2"/>
        <v>22</v>
      </c>
      <c r="B26" s="10" t="s">
        <v>36</v>
      </c>
      <c r="C26" s="10" t="s">
        <v>37</v>
      </c>
      <c r="D26" s="10">
        <v>2</v>
      </c>
      <c r="E26" s="13">
        <v>1</v>
      </c>
      <c r="F26" s="12" t="s">
        <v>14</v>
      </c>
      <c r="G26" s="11">
        <v>0.016534756057232303</v>
      </c>
      <c r="H26" s="14">
        <f t="shared" si="3"/>
        <v>0.016534756057232303</v>
      </c>
      <c r="I26" s="14">
        <f t="shared" si="4"/>
        <v>0.03306951211446461</v>
      </c>
      <c r="J26" s="12" t="s">
        <v>23</v>
      </c>
      <c r="K26" s="36" t="s">
        <v>126</v>
      </c>
      <c r="L26" s="16">
        <v>2.39</v>
      </c>
      <c r="M26" s="17">
        <f>IF(L26&lt;1,0,L26*D26)</f>
        <v>4.78</v>
      </c>
    </row>
    <row r="27" spans="1:15" s="12" customFormat="1" ht="15">
      <c r="A27" s="25">
        <f t="shared" si="2"/>
        <v>23</v>
      </c>
      <c r="B27" s="10" t="s">
        <v>53</v>
      </c>
      <c r="C27" s="10" t="s">
        <v>54</v>
      </c>
      <c r="D27" s="10">
        <v>1</v>
      </c>
      <c r="E27" s="13">
        <v>1</v>
      </c>
      <c r="F27" s="12" t="s">
        <v>14</v>
      </c>
      <c r="G27" s="11">
        <f>79/453.59</f>
        <v>0.17416609713618025</v>
      </c>
      <c r="H27" s="14">
        <f t="shared" si="3"/>
        <v>0.17416609713618025</v>
      </c>
      <c r="I27" s="14">
        <f t="shared" si="4"/>
        <v>0.17416609713618025</v>
      </c>
      <c r="J27" s="12" t="s">
        <v>23</v>
      </c>
      <c r="K27" s="36" t="s">
        <v>127</v>
      </c>
      <c r="L27" s="16">
        <f>27.59/18</f>
        <v>1.5327777777777778</v>
      </c>
      <c r="M27" s="17">
        <f>IF(L27&lt;1,0,L27*D27)</f>
        <v>1.5327777777777778</v>
      </c>
      <c r="O27" s="14"/>
    </row>
    <row r="28" spans="1:15" s="12" customFormat="1" ht="15">
      <c r="A28" s="25">
        <f t="shared" si="2"/>
        <v>24</v>
      </c>
      <c r="B28" s="10" t="s">
        <v>55</v>
      </c>
      <c r="C28" s="10" t="s">
        <v>81</v>
      </c>
      <c r="D28" s="10">
        <v>1</v>
      </c>
      <c r="E28" s="13">
        <v>1</v>
      </c>
      <c r="F28" s="12" t="s">
        <v>14</v>
      </c>
      <c r="G28" s="11">
        <v>0.05</v>
      </c>
      <c r="H28" s="14">
        <f t="shared" si="3"/>
        <v>0.05</v>
      </c>
      <c r="I28" s="14">
        <f t="shared" si="4"/>
        <v>0.05</v>
      </c>
      <c r="J28" s="12" t="s">
        <v>23</v>
      </c>
      <c r="K28" s="46" t="s">
        <v>121</v>
      </c>
      <c r="L28" s="16">
        <f>49.74/18</f>
        <v>2.7633333333333336</v>
      </c>
      <c r="M28" s="17">
        <f>IF(L28&lt;1,0,L28*D28)</f>
        <v>2.7633333333333336</v>
      </c>
      <c r="O28" s="14"/>
    </row>
    <row r="29" spans="1:15" s="12" customFormat="1" ht="15">
      <c r="A29" s="25">
        <f t="shared" si="2"/>
        <v>25</v>
      </c>
      <c r="B29" s="10" t="s">
        <v>56</v>
      </c>
      <c r="C29" s="10" t="s">
        <v>57</v>
      </c>
      <c r="D29" s="10">
        <v>1</v>
      </c>
      <c r="E29" s="13">
        <v>1</v>
      </c>
      <c r="F29" s="12" t="s">
        <v>14</v>
      </c>
      <c r="G29" s="11">
        <v>0.009094115831477767</v>
      </c>
      <c r="H29" s="14">
        <f t="shared" si="3"/>
        <v>0.009094115831477767</v>
      </c>
      <c r="I29" s="14">
        <f t="shared" si="4"/>
        <v>0.009094115831477767</v>
      </c>
      <c r="J29" s="12" t="s">
        <v>23</v>
      </c>
      <c r="K29" s="15"/>
      <c r="L29" s="16"/>
      <c r="M29" s="17">
        <f>IF(L29&lt;1,0,L29*D29)</f>
        <v>0</v>
      </c>
      <c r="O29" s="14"/>
    </row>
    <row r="30" spans="1:13" s="12" customFormat="1" ht="15">
      <c r="A30" s="25">
        <f t="shared" si="2"/>
        <v>26</v>
      </c>
      <c r="B30" s="10" t="s">
        <v>58</v>
      </c>
      <c r="C30" s="10" t="s">
        <v>113</v>
      </c>
      <c r="D30" s="10">
        <v>1</v>
      </c>
      <c r="E30" s="13">
        <v>1</v>
      </c>
      <c r="F30" s="12" t="s">
        <v>14</v>
      </c>
      <c r="G30" s="11">
        <v>0.12235719482351905</v>
      </c>
      <c r="H30" s="14">
        <f t="shared" si="3"/>
        <v>0.12235719482351905</v>
      </c>
      <c r="I30" s="14">
        <f t="shared" si="4"/>
        <v>0.12235719482351905</v>
      </c>
      <c r="J30" s="12" t="s">
        <v>114</v>
      </c>
      <c r="K30" s="47" t="s">
        <v>136</v>
      </c>
      <c r="L30" s="16">
        <v>1.93</v>
      </c>
      <c r="M30" s="17">
        <f>IF(L30&lt;1,0,L30*D30)</f>
        <v>1.93</v>
      </c>
    </row>
    <row r="31" spans="1:27" s="12" customFormat="1" ht="15">
      <c r="A31" s="25">
        <f t="shared" si="2"/>
        <v>27</v>
      </c>
      <c r="B31" s="10" t="s">
        <v>110</v>
      </c>
      <c r="C31" s="10" t="s">
        <v>47</v>
      </c>
      <c r="D31" s="10">
        <v>1</v>
      </c>
      <c r="E31" s="13">
        <v>1</v>
      </c>
      <c r="F31" s="12" t="s">
        <v>14</v>
      </c>
      <c r="G31" s="11">
        <v>0.25</v>
      </c>
      <c r="H31" s="14">
        <f t="shared" si="3"/>
        <v>0.25</v>
      </c>
      <c r="I31" s="14">
        <f t="shared" si="4"/>
        <v>0.25</v>
      </c>
      <c r="K31" s="15"/>
      <c r="L31" s="16">
        <f>X32*4/16</f>
        <v>1.30771875</v>
      </c>
      <c r="M31" s="17">
        <f>IF(L31&lt;1,0,L31*D31)</f>
        <v>1.30771875</v>
      </c>
      <c r="N31" s="26" t="s">
        <v>152</v>
      </c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</row>
    <row r="32" spans="1:27" s="12" customFormat="1" ht="17.25">
      <c r="A32" s="25">
        <f t="shared" si="2"/>
        <v>28</v>
      </c>
      <c r="B32" s="10" t="s">
        <v>111</v>
      </c>
      <c r="C32" s="10" t="s">
        <v>47</v>
      </c>
      <c r="D32" s="10">
        <v>2</v>
      </c>
      <c r="E32" s="13">
        <v>1</v>
      </c>
      <c r="F32" s="12" t="s">
        <v>14</v>
      </c>
      <c r="G32" s="11">
        <v>0.15</v>
      </c>
      <c r="H32" s="14">
        <f t="shared" si="3"/>
        <v>0.15</v>
      </c>
      <c r="I32" s="14">
        <f t="shared" si="4"/>
        <v>0.3</v>
      </c>
      <c r="K32" s="15"/>
      <c r="L32" s="16">
        <f>X32*6/16</f>
        <v>1.961578125</v>
      </c>
      <c r="M32" s="17">
        <f>IF(L32&lt;1,0,L32*D32)</f>
        <v>3.92315625</v>
      </c>
      <c r="N32" s="27" t="s">
        <v>153</v>
      </c>
      <c r="O32" s="26"/>
      <c r="P32" s="26">
        <f>4*14.5*0.5</f>
        <v>29</v>
      </c>
      <c r="Q32" s="26" t="s">
        <v>148</v>
      </c>
      <c r="R32" s="27" t="s">
        <v>149</v>
      </c>
      <c r="S32" s="26"/>
      <c r="T32" s="26">
        <f>P32*0.0975</f>
        <v>2.8275</v>
      </c>
      <c r="U32" s="26" t="s">
        <v>150</v>
      </c>
      <c r="V32" s="27" t="s">
        <v>151</v>
      </c>
      <c r="W32" s="26"/>
      <c r="X32" s="28">
        <f>T32*1.85</f>
        <v>5.230875</v>
      </c>
      <c r="Y32" s="26"/>
      <c r="Z32" s="26"/>
      <c r="AA32" s="26"/>
    </row>
    <row r="33" spans="1:27" s="12" customFormat="1" ht="15">
      <c r="A33" s="25">
        <f t="shared" si="2"/>
        <v>29</v>
      </c>
      <c r="B33" s="10" t="s">
        <v>48</v>
      </c>
      <c r="C33" s="10" t="s">
        <v>47</v>
      </c>
      <c r="D33" s="10">
        <v>1</v>
      </c>
      <c r="E33" s="13">
        <v>1</v>
      </c>
      <c r="F33" s="12" t="s">
        <v>14</v>
      </c>
      <c r="G33" s="11">
        <v>0.191</v>
      </c>
      <c r="H33" s="14">
        <f t="shared" si="3"/>
        <v>0.191</v>
      </c>
      <c r="I33" s="14">
        <f t="shared" si="4"/>
        <v>0.191</v>
      </c>
      <c r="J33" s="12" t="s">
        <v>23</v>
      </c>
      <c r="K33" s="48" t="s">
        <v>120</v>
      </c>
      <c r="L33" s="16">
        <f>35.17/20</f>
        <v>1.7585000000000002</v>
      </c>
      <c r="M33" s="17">
        <f>IF(L33&lt;1,0,L33*D33)</f>
        <v>1.7585000000000002</v>
      </c>
      <c r="N33" s="29" t="s">
        <v>154</v>
      </c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</row>
    <row r="34" spans="1:27" s="12" customFormat="1" ht="17.25">
      <c r="A34" s="25">
        <f t="shared" si="2"/>
        <v>30</v>
      </c>
      <c r="B34" s="10" t="s">
        <v>49</v>
      </c>
      <c r="C34" s="10" t="s">
        <v>47</v>
      </c>
      <c r="D34" s="10">
        <v>2</v>
      </c>
      <c r="E34" s="13">
        <v>1</v>
      </c>
      <c r="F34" s="12" t="s">
        <v>14</v>
      </c>
      <c r="G34" s="11">
        <v>0.04</v>
      </c>
      <c r="H34" s="14">
        <f t="shared" si="3"/>
        <v>0.04</v>
      </c>
      <c r="I34" s="14">
        <f t="shared" si="4"/>
        <v>0.08</v>
      </c>
      <c r="K34" s="15"/>
      <c r="L34" s="16">
        <f>X34/5</f>
        <v>0.34947656250000003</v>
      </c>
      <c r="M34" s="17">
        <f>L34*D34</f>
        <v>0.6989531250000001</v>
      </c>
      <c r="N34" s="30" t="s">
        <v>155</v>
      </c>
      <c r="O34" s="29"/>
      <c r="P34" s="31">
        <f>5*15.5/8</f>
        <v>9.6875</v>
      </c>
      <c r="Q34" s="29" t="s">
        <v>148</v>
      </c>
      <c r="R34" s="30" t="s">
        <v>149</v>
      </c>
      <c r="S34" s="29"/>
      <c r="T34" s="29">
        <f>P34*0.0975</f>
        <v>0.94453125</v>
      </c>
      <c r="U34" s="29" t="s">
        <v>150</v>
      </c>
      <c r="V34" s="30" t="s">
        <v>151</v>
      </c>
      <c r="W34" s="29"/>
      <c r="X34" s="32">
        <f>T34*1.85</f>
        <v>1.7473828125000002</v>
      </c>
      <c r="Y34" s="29"/>
      <c r="Z34" s="29"/>
      <c r="AA34" s="29"/>
    </row>
    <row r="35" spans="1:13" s="12" customFormat="1" ht="15">
      <c r="A35" s="25">
        <f t="shared" si="2"/>
        <v>31</v>
      </c>
      <c r="B35" s="10" t="s">
        <v>102</v>
      </c>
      <c r="C35" s="10" t="s">
        <v>47</v>
      </c>
      <c r="D35" s="10">
        <v>1</v>
      </c>
      <c r="E35" s="19">
        <v>1</v>
      </c>
      <c r="F35" s="10" t="s">
        <v>14</v>
      </c>
      <c r="G35" s="11">
        <v>0.25</v>
      </c>
      <c r="H35" s="14">
        <f t="shared" si="3"/>
        <v>0.25</v>
      </c>
      <c r="I35" s="14">
        <f t="shared" si="4"/>
        <v>0.25</v>
      </c>
      <c r="K35" s="15"/>
      <c r="L35" s="16"/>
      <c r="M35" s="17">
        <f>IF(L35&lt;1,0,L35*D35)</f>
        <v>0</v>
      </c>
    </row>
    <row r="36" spans="1:13" s="12" customFormat="1" ht="15">
      <c r="A36" s="25">
        <f t="shared" si="2"/>
        <v>32</v>
      </c>
      <c r="B36" s="10" t="s">
        <v>103</v>
      </c>
      <c r="C36" s="10" t="s">
        <v>47</v>
      </c>
      <c r="D36" s="10">
        <v>1</v>
      </c>
      <c r="E36" s="19">
        <v>1</v>
      </c>
      <c r="F36" s="10" t="s">
        <v>14</v>
      </c>
      <c r="G36" s="11">
        <v>0.23</v>
      </c>
      <c r="H36" s="14">
        <f t="shared" si="3"/>
        <v>0.23</v>
      </c>
      <c r="I36" s="14">
        <f t="shared" si="4"/>
        <v>0.23</v>
      </c>
      <c r="K36" s="15"/>
      <c r="L36" s="16"/>
      <c r="M36" s="17">
        <f>IF(L36&lt;1,0,L36*D36)</f>
        <v>0</v>
      </c>
    </row>
    <row r="37" spans="1:13" s="12" customFormat="1" ht="15">
      <c r="A37" s="25">
        <f t="shared" si="2"/>
        <v>33</v>
      </c>
      <c r="B37" s="10" t="s">
        <v>63</v>
      </c>
      <c r="C37" s="10" t="s">
        <v>64</v>
      </c>
      <c r="D37" s="10">
        <v>1</v>
      </c>
      <c r="E37" s="13">
        <v>1</v>
      </c>
      <c r="F37" s="12" t="s">
        <v>14</v>
      </c>
      <c r="G37" s="11">
        <v>0.004</v>
      </c>
      <c r="H37" s="14">
        <f t="shared" si="3"/>
        <v>0.004</v>
      </c>
      <c r="I37" s="14">
        <f t="shared" si="4"/>
        <v>0.004</v>
      </c>
      <c r="K37" s="18"/>
      <c r="L37" s="16">
        <v>0</v>
      </c>
      <c r="M37" s="17">
        <f>IF(L37&lt;1,0,L37*D37)</f>
        <v>0</v>
      </c>
    </row>
    <row r="38" spans="1:13" s="12" customFormat="1" ht="15">
      <c r="A38" s="25">
        <f t="shared" si="2"/>
        <v>34</v>
      </c>
      <c r="B38" s="10" t="s">
        <v>50</v>
      </c>
      <c r="C38" s="10" t="s">
        <v>51</v>
      </c>
      <c r="D38" s="10">
        <v>3</v>
      </c>
      <c r="E38" s="13">
        <v>1</v>
      </c>
      <c r="F38" s="12" t="s">
        <v>14</v>
      </c>
      <c r="G38" s="11">
        <v>0.001</v>
      </c>
      <c r="H38" s="14">
        <f t="shared" si="3"/>
        <v>0.001</v>
      </c>
      <c r="I38" s="14">
        <f t="shared" si="4"/>
        <v>0.003</v>
      </c>
      <c r="J38" s="12" t="s">
        <v>23</v>
      </c>
      <c r="K38" s="36" t="s">
        <v>52</v>
      </c>
      <c r="L38" s="16">
        <f>14.06/50</f>
        <v>0.2812</v>
      </c>
      <c r="M38" s="17">
        <f>IF(L38&lt;1,0,L38*D38)</f>
        <v>0</v>
      </c>
    </row>
    <row r="39" spans="1:13" s="12" customFormat="1" ht="15">
      <c r="A39" s="25">
        <f t="shared" si="2"/>
        <v>35</v>
      </c>
      <c r="B39" s="10" t="s">
        <v>59</v>
      </c>
      <c r="C39" s="20" t="s">
        <v>60</v>
      </c>
      <c r="D39" s="10">
        <v>4</v>
      </c>
      <c r="E39" s="13">
        <v>1</v>
      </c>
      <c r="F39" s="12" t="s">
        <v>14</v>
      </c>
      <c r="G39" s="11">
        <v>0.021</v>
      </c>
      <c r="H39" s="14">
        <f t="shared" si="3"/>
        <v>0.021</v>
      </c>
      <c r="I39" s="14">
        <f t="shared" si="4"/>
        <v>0.084</v>
      </c>
      <c r="J39" s="12" t="s">
        <v>23</v>
      </c>
      <c r="K39" s="18" t="s">
        <v>61</v>
      </c>
      <c r="L39" s="16">
        <f>7.87/100</f>
        <v>0.0787</v>
      </c>
      <c r="M39" s="17">
        <f>IF(L39&lt;1,0,L39*D39)</f>
        <v>0</v>
      </c>
    </row>
    <row r="40" spans="1:13" s="12" customFormat="1" ht="15">
      <c r="A40" s="25">
        <f t="shared" si="2"/>
        <v>36</v>
      </c>
      <c r="B40" s="10" t="s">
        <v>62</v>
      </c>
      <c r="C40" s="10" t="s">
        <v>1</v>
      </c>
      <c r="D40" s="10">
        <v>1</v>
      </c>
      <c r="E40" s="13">
        <v>1</v>
      </c>
      <c r="F40" s="12" t="s">
        <v>14</v>
      </c>
      <c r="G40" s="11">
        <v>0.017637073127714457</v>
      </c>
      <c r="H40" s="14">
        <f t="shared" si="3"/>
        <v>0.017637073127714457</v>
      </c>
      <c r="I40" s="14">
        <f t="shared" si="4"/>
        <v>0.017637073127714457</v>
      </c>
      <c r="J40" s="12" t="s">
        <v>23</v>
      </c>
      <c r="K40" s="36" t="s">
        <v>128</v>
      </c>
      <c r="L40" s="16">
        <v>2.17</v>
      </c>
      <c r="M40" s="17">
        <f>IF(L40&lt;1,0,L40*D40)</f>
        <v>2.17</v>
      </c>
    </row>
    <row r="41" spans="1:13" s="12" customFormat="1" ht="15">
      <c r="A41" s="25">
        <f t="shared" si="2"/>
        <v>37</v>
      </c>
      <c r="B41" s="10" t="s">
        <v>84</v>
      </c>
      <c r="C41" s="10" t="s">
        <v>85</v>
      </c>
      <c r="D41" s="12">
        <v>5</v>
      </c>
      <c r="E41" s="13">
        <v>1</v>
      </c>
      <c r="F41" s="10" t="s">
        <v>14</v>
      </c>
      <c r="G41" s="14">
        <v>0.016314292643135872</v>
      </c>
      <c r="H41" s="14">
        <f t="shared" si="3"/>
        <v>0.016314292643135872</v>
      </c>
      <c r="I41" s="14">
        <f t="shared" si="4"/>
        <v>0.08157146321567936</v>
      </c>
      <c r="J41" s="10" t="s">
        <v>23</v>
      </c>
      <c r="K41" s="46" t="s">
        <v>86</v>
      </c>
      <c r="L41" s="16">
        <v>2.25</v>
      </c>
      <c r="M41" s="17">
        <f>IF(L41&lt;1,0,L41*D41)</f>
        <v>11.25</v>
      </c>
    </row>
    <row r="42" spans="1:13" s="12" customFormat="1" ht="15">
      <c r="A42" s="25">
        <f t="shared" si="2"/>
        <v>38</v>
      </c>
      <c r="B42" s="12" t="s">
        <v>87</v>
      </c>
      <c r="C42" s="12" t="s">
        <v>146</v>
      </c>
      <c r="D42" s="12">
        <v>1</v>
      </c>
      <c r="E42" s="13">
        <v>1</v>
      </c>
      <c r="F42" s="12" t="s">
        <v>14</v>
      </c>
      <c r="G42" s="11">
        <v>0.03527414625542891</v>
      </c>
      <c r="H42" s="14">
        <f t="shared" si="3"/>
        <v>0.03527414625542891</v>
      </c>
      <c r="I42" s="14">
        <f t="shared" si="4"/>
        <v>0.03527414625542891</v>
      </c>
      <c r="J42" s="12" t="s">
        <v>145</v>
      </c>
      <c r="K42" s="15" t="s">
        <v>147</v>
      </c>
      <c r="L42" s="16">
        <v>10.88</v>
      </c>
      <c r="M42" s="17">
        <f>IF(L42&lt;1,0,L42*D42)</f>
        <v>10.88</v>
      </c>
    </row>
    <row r="43" spans="1:13" s="12" customFormat="1" ht="15">
      <c r="A43" s="25">
        <f t="shared" si="2"/>
        <v>39</v>
      </c>
      <c r="B43" s="10" t="s">
        <v>65</v>
      </c>
      <c r="C43" s="10" t="s">
        <v>66</v>
      </c>
      <c r="D43" s="10">
        <v>6</v>
      </c>
      <c r="E43" s="13">
        <v>1</v>
      </c>
      <c r="F43" s="12" t="s">
        <v>14</v>
      </c>
      <c r="G43" s="11">
        <v>0.004629731696025045</v>
      </c>
      <c r="H43" s="14">
        <f t="shared" si="3"/>
        <v>0.004629731696025045</v>
      </c>
      <c r="I43" s="14">
        <f t="shared" si="4"/>
        <v>0.027778390176150268</v>
      </c>
      <c r="J43" s="12" t="s">
        <v>23</v>
      </c>
      <c r="K43" s="46" t="s">
        <v>122</v>
      </c>
      <c r="L43" s="16">
        <v>1.22</v>
      </c>
      <c r="M43" s="17">
        <f>IF(L43&lt;1,0,L43*D43)</f>
        <v>7.32</v>
      </c>
    </row>
    <row r="44" spans="1:13" s="12" customFormat="1" ht="15">
      <c r="A44" s="25">
        <f t="shared" si="2"/>
        <v>40</v>
      </c>
      <c r="B44" s="10" t="s">
        <v>67</v>
      </c>
      <c r="C44" s="10" t="s">
        <v>68</v>
      </c>
      <c r="D44" s="10">
        <v>6</v>
      </c>
      <c r="E44" s="13">
        <v>1</v>
      </c>
      <c r="F44" s="12" t="s">
        <v>14</v>
      </c>
      <c r="G44" s="14">
        <v>0.005</v>
      </c>
      <c r="H44" s="14">
        <f t="shared" si="3"/>
        <v>0.005</v>
      </c>
      <c r="I44" s="14">
        <f t="shared" si="4"/>
        <v>0.03</v>
      </c>
      <c r="J44" s="12" t="s">
        <v>23</v>
      </c>
      <c r="K44" s="15" t="s">
        <v>69</v>
      </c>
      <c r="L44" s="16">
        <f>13.46/100</f>
        <v>0.1346</v>
      </c>
      <c r="M44" s="17">
        <f>IF(L44&lt;1,0,L44*D44)</f>
        <v>0</v>
      </c>
    </row>
    <row r="45" spans="1:13" s="12" customFormat="1" ht="15">
      <c r="A45" s="25">
        <f t="shared" si="2"/>
        <v>41</v>
      </c>
      <c r="B45" s="10" t="s">
        <v>67</v>
      </c>
      <c r="C45" s="10" t="s">
        <v>70</v>
      </c>
      <c r="D45" s="10">
        <v>6</v>
      </c>
      <c r="E45" s="13">
        <v>1</v>
      </c>
      <c r="F45" s="12" t="s">
        <v>14</v>
      </c>
      <c r="G45" s="14">
        <v>0.004</v>
      </c>
      <c r="H45" s="14">
        <f t="shared" si="3"/>
        <v>0.004</v>
      </c>
      <c r="I45" s="14">
        <f t="shared" si="4"/>
        <v>0.024</v>
      </c>
      <c r="J45" s="12" t="s">
        <v>23</v>
      </c>
      <c r="K45" s="15" t="s">
        <v>71</v>
      </c>
      <c r="L45" s="16">
        <f>12.2/100</f>
        <v>0.122</v>
      </c>
      <c r="M45" s="17">
        <f>IF(L45&lt;1,0,L45*D45)</f>
        <v>0</v>
      </c>
    </row>
    <row r="46" spans="1:13" s="12" customFormat="1" ht="15">
      <c r="A46" s="25">
        <f t="shared" si="2"/>
        <v>42</v>
      </c>
      <c r="B46" s="10" t="s">
        <v>73</v>
      </c>
      <c r="C46" s="10" t="s">
        <v>74</v>
      </c>
      <c r="D46" s="10">
        <v>2</v>
      </c>
      <c r="E46" s="13">
        <v>1</v>
      </c>
      <c r="F46" s="12" t="s">
        <v>14</v>
      </c>
      <c r="G46" s="14">
        <v>0.011</v>
      </c>
      <c r="H46" s="14">
        <f t="shared" si="3"/>
        <v>0.011</v>
      </c>
      <c r="I46" s="14">
        <f t="shared" si="4"/>
        <v>0.022</v>
      </c>
      <c r="J46" s="12" t="s">
        <v>23</v>
      </c>
      <c r="K46" s="18" t="s">
        <v>75</v>
      </c>
      <c r="L46" s="16">
        <f>7.66/25</f>
        <v>0.3064</v>
      </c>
      <c r="M46" s="17">
        <f>IF(L46&lt;1,0,L46*D46)</f>
        <v>0</v>
      </c>
    </row>
    <row r="47" spans="1:13" s="12" customFormat="1" ht="15">
      <c r="A47" s="25">
        <f t="shared" si="2"/>
        <v>43</v>
      </c>
      <c r="B47" s="10" t="s">
        <v>159</v>
      </c>
      <c r="C47" s="10" t="s">
        <v>156</v>
      </c>
      <c r="D47" s="10">
        <v>1</v>
      </c>
      <c r="E47" s="13">
        <v>1</v>
      </c>
      <c r="F47" s="12" t="s">
        <v>14</v>
      </c>
      <c r="G47" s="14">
        <f>11/3/453.59</f>
        <v>0.008083658516869126</v>
      </c>
      <c r="H47" s="14">
        <f>G47*E47</f>
        <v>0.008083658516869126</v>
      </c>
      <c r="I47" s="14">
        <f>H47*D47</f>
        <v>0.008083658516869126</v>
      </c>
      <c r="J47" s="12" t="s">
        <v>157</v>
      </c>
      <c r="K47" s="15" t="s">
        <v>158</v>
      </c>
      <c r="L47" s="16">
        <v>6.75</v>
      </c>
      <c r="M47" s="17">
        <f>IF(L47&lt;1,0,L47*D47)</f>
        <v>6.75</v>
      </c>
    </row>
    <row r="48" spans="1:13" s="12" customFormat="1" ht="15">
      <c r="A48" s="25">
        <f t="shared" si="2"/>
        <v>44</v>
      </c>
      <c r="B48" s="10" t="s">
        <v>160</v>
      </c>
      <c r="C48" s="10" t="s">
        <v>81</v>
      </c>
      <c r="D48" s="10">
        <v>1</v>
      </c>
      <c r="E48" s="13">
        <v>1</v>
      </c>
      <c r="F48" s="12" t="s">
        <v>14</v>
      </c>
      <c r="G48" s="14">
        <f>5.5/453.59</f>
        <v>0.012125487775303688</v>
      </c>
      <c r="H48" s="14">
        <f>G48*E48</f>
        <v>0.012125487775303688</v>
      </c>
      <c r="I48" s="14">
        <f>H48*D48</f>
        <v>0.012125487775303688</v>
      </c>
      <c r="K48" s="18"/>
      <c r="L48" s="16"/>
      <c r="M48" s="17">
        <f>IF(L48&lt;1,0,L48*D48)</f>
        <v>0</v>
      </c>
    </row>
    <row r="49" spans="1:13" s="12" customFormat="1" ht="15">
      <c r="A49" s="25">
        <f t="shared" si="2"/>
        <v>45</v>
      </c>
      <c r="B49" s="10"/>
      <c r="C49" s="10" t="s">
        <v>161</v>
      </c>
      <c r="D49" s="10">
        <v>2</v>
      </c>
      <c r="E49" s="13">
        <v>1</v>
      </c>
      <c r="F49" s="12" t="s">
        <v>14</v>
      </c>
      <c r="G49" s="14">
        <f>4.9/453.59</f>
        <v>0.010802707290725105</v>
      </c>
      <c r="H49" s="14">
        <f>G49*E49</f>
        <v>0.010802707290725105</v>
      </c>
      <c r="I49" s="14">
        <f>H49*D49</f>
        <v>0.02160541458145021</v>
      </c>
      <c r="J49" s="10" t="s">
        <v>23</v>
      </c>
      <c r="K49" s="18" t="s">
        <v>162</v>
      </c>
      <c r="L49" s="16">
        <f>7.75/25</f>
        <v>0.31</v>
      </c>
      <c r="M49" s="17">
        <f>IF(L49&lt;1,0,L49*D49)</f>
        <v>0</v>
      </c>
    </row>
    <row r="50" spans="1:13" s="12" customFormat="1" ht="15">
      <c r="A50" s="25">
        <f t="shared" si="2"/>
        <v>46</v>
      </c>
      <c r="B50" s="10"/>
      <c r="C50" s="10" t="s">
        <v>164</v>
      </c>
      <c r="D50" s="10">
        <v>2</v>
      </c>
      <c r="E50" s="13">
        <v>1</v>
      </c>
      <c r="F50" s="12" t="s">
        <v>14</v>
      </c>
      <c r="G50" s="14">
        <f>1.5/453.59</f>
        <v>0.003306951211446461</v>
      </c>
      <c r="H50" s="14">
        <f>G50*E50</f>
        <v>0.003306951211446461</v>
      </c>
      <c r="I50" s="14">
        <f>H50*D50</f>
        <v>0.006613902422892922</v>
      </c>
      <c r="J50" s="10" t="s">
        <v>23</v>
      </c>
      <c r="K50" s="18" t="s">
        <v>163</v>
      </c>
      <c r="L50" s="16">
        <v>0.56</v>
      </c>
      <c r="M50" s="17">
        <f>IF(L50&lt;1,0,L50*D50)</f>
        <v>0</v>
      </c>
    </row>
    <row r="51" spans="1:13" s="12" customFormat="1" ht="15">
      <c r="A51" s="25">
        <f t="shared" si="2"/>
        <v>47</v>
      </c>
      <c r="C51" s="10" t="s">
        <v>116</v>
      </c>
      <c r="D51" s="12">
        <v>5</v>
      </c>
      <c r="E51" s="13">
        <v>1</v>
      </c>
      <c r="F51" s="10" t="s">
        <v>14</v>
      </c>
      <c r="G51" s="14">
        <v>0.014</v>
      </c>
      <c r="H51" s="14">
        <f aca="true" t="shared" si="5" ref="H51:H60">G51*E51</f>
        <v>0.014</v>
      </c>
      <c r="I51" s="14">
        <f aca="true" t="shared" si="6" ref="I51:I60">H51*D51</f>
        <v>0.07</v>
      </c>
      <c r="K51" s="15"/>
      <c r="L51" s="16"/>
      <c r="M51" s="17">
        <f>IF(L51&lt;1,0,L51*D51)</f>
        <v>0</v>
      </c>
    </row>
    <row r="52" spans="1:13" s="12" customFormat="1" ht="15">
      <c r="A52" s="25">
        <f t="shared" si="2"/>
        <v>48</v>
      </c>
      <c r="C52" s="12" t="s">
        <v>117</v>
      </c>
      <c r="D52" s="12">
        <v>5</v>
      </c>
      <c r="E52" s="13">
        <v>1</v>
      </c>
      <c r="F52" s="10" t="s">
        <v>14</v>
      </c>
      <c r="G52" s="14">
        <v>0.007</v>
      </c>
      <c r="H52" s="14">
        <f t="shared" si="5"/>
        <v>0.007</v>
      </c>
      <c r="I52" s="14">
        <f t="shared" si="6"/>
        <v>0.035</v>
      </c>
      <c r="K52" s="15"/>
      <c r="L52" s="16"/>
      <c r="M52" s="17">
        <f>IF(L52&lt;1,0,L52*D52)</f>
        <v>0</v>
      </c>
    </row>
    <row r="53" spans="1:13" s="12" customFormat="1" ht="15">
      <c r="A53" s="25">
        <f t="shared" si="2"/>
        <v>49</v>
      </c>
      <c r="B53" s="10"/>
      <c r="C53" s="10" t="s">
        <v>88</v>
      </c>
      <c r="D53" s="10">
        <v>1</v>
      </c>
      <c r="E53" s="19">
        <v>1</v>
      </c>
      <c r="F53" s="10" t="s">
        <v>14</v>
      </c>
      <c r="G53" s="11">
        <v>0.007</v>
      </c>
      <c r="H53" s="11">
        <f t="shared" si="5"/>
        <v>0.007</v>
      </c>
      <c r="I53" s="11">
        <f t="shared" si="6"/>
        <v>0.007</v>
      </c>
      <c r="J53" s="10" t="s">
        <v>23</v>
      </c>
      <c r="K53" s="15"/>
      <c r="L53" s="16"/>
      <c r="M53" s="17">
        <f>IF(L53&lt;1,0,L53*D53)</f>
        <v>0</v>
      </c>
    </row>
    <row r="54" spans="1:13" s="12" customFormat="1" ht="15">
      <c r="A54" s="25">
        <f t="shared" si="2"/>
        <v>50</v>
      </c>
      <c r="B54" s="10"/>
      <c r="C54" s="10" t="s">
        <v>115</v>
      </c>
      <c r="D54" s="10">
        <v>5</v>
      </c>
      <c r="E54" s="19">
        <v>1</v>
      </c>
      <c r="F54" s="10" t="s">
        <v>14</v>
      </c>
      <c r="G54" s="11">
        <v>0.023</v>
      </c>
      <c r="H54" s="11">
        <f t="shared" si="5"/>
        <v>0.023</v>
      </c>
      <c r="I54" s="11">
        <f t="shared" si="6"/>
        <v>0.11499999999999999</v>
      </c>
      <c r="J54" s="10" t="s">
        <v>23</v>
      </c>
      <c r="K54" s="46" t="s">
        <v>123</v>
      </c>
      <c r="L54" s="16">
        <v>0.619</v>
      </c>
      <c r="M54" s="17">
        <f>IF(L54&lt;1,0,L54*D54)</f>
        <v>0</v>
      </c>
    </row>
    <row r="55" spans="1:13" s="12" customFormat="1" ht="15">
      <c r="A55" s="25">
        <f t="shared" si="2"/>
        <v>51</v>
      </c>
      <c r="B55" s="10"/>
      <c r="C55" s="10" t="s">
        <v>72</v>
      </c>
      <c r="D55" s="10">
        <v>5</v>
      </c>
      <c r="E55" s="19">
        <v>1</v>
      </c>
      <c r="F55" s="10" t="s">
        <v>14</v>
      </c>
      <c r="G55" s="11">
        <v>0.006</v>
      </c>
      <c r="H55" s="11">
        <f t="shared" si="5"/>
        <v>0.006</v>
      </c>
      <c r="I55" s="11">
        <f t="shared" si="6"/>
        <v>0.03</v>
      </c>
      <c r="J55" s="12" t="s">
        <v>23</v>
      </c>
      <c r="K55" s="46" t="s">
        <v>124</v>
      </c>
      <c r="L55" s="16">
        <v>0.0281</v>
      </c>
      <c r="M55" s="17">
        <f>IF(L55&lt;1,0,L55*D55)</f>
        <v>0</v>
      </c>
    </row>
    <row r="56" spans="1:13" s="12" customFormat="1" ht="15">
      <c r="A56" s="25">
        <f t="shared" si="2"/>
        <v>52</v>
      </c>
      <c r="B56" s="10"/>
      <c r="C56" s="10" t="s">
        <v>89</v>
      </c>
      <c r="D56" s="10">
        <v>1</v>
      </c>
      <c r="E56" s="19">
        <v>1</v>
      </c>
      <c r="F56" s="10" t="s">
        <v>14</v>
      </c>
      <c r="G56" s="11">
        <v>0.007</v>
      </c>
      <c r="H56" s="11">
        <f t="shared" si="5"/>
        <v>0.007</v>
      </c>
      <c r="I56" s="11">
        <f t="shared" si="6"/>
        <v>0.007</v>
      </c>
      <c r="K56" s="15"/>
      <c r="L56" s="16"/>
      <c r="M56" s="17">
        <f>IF(L56&lt;1,0,L56*D56)</f>
        <v>0</v>
      </c>
    </row>
    <row r="57" spans="1:13" s="12" customFormat="1" ht="15">
      <c r="A57" s="25">
        <f t="shared" si="2"/>
        <v>53</v>
      </c>
      <c r="B57" s="10"/>
      <c r="C57" s="22" t="s">
        <v>90</v>
      </c>
      <c r="D57" s="10">
        <v>1</v>
      </c>
      <c r="E57" s="19">
        <v>1</v>
      </c>
      <c r="F57" s="10" t="s">
        <v>14</v>
      </c>
      <c r="G57" s="11">
        <v>0.004</v>
      </c>
      <c r="H57" s="11">
        <f t="shared" si="5"/>
        <v>0.004</v>
      </c>
      <c r="I57" s="11">
        <f t="shared" si="6"/>
        <v>0.004</v>
      </c>
      <c r="K57" s="15"/>
      <c r="L57" s="16"/>
      <c r="M57" s="17">
        <f>IF(L57&lt;1,0,L57*D57)</f>
        <v>0</v>
      </c>
    </row>
    <row r="58" spans="1:13" s="12" customFormat="1" ht="15">
      <c r="A58" s="25">
        <f t="shared" si="2"/>
        <v>54</v>
      </c>
      <c r="B58" s="10"/>
      <c r="C58" s="22" t="s">
        <v>141</v>
      </c>
      <c r="D58" s="10">
        <v>4</v>
      </c>
      <c r="E58" s="19">
        <v>1</v>
      </c>
      <c r="F58" s="10" t="s">
        <v>14</v>
      </c>
      <c r="G58" s="11">
        <v>0.001543243898675015</v>
      </c>
      <c r="H58" s="11">
        <f>G58*E58</f>
        <v>0.001543243898675015</v>
      </c>
      <c r="I58" s="11">
        <f>H58*D58</f>
        <v>0.00617297559470006</v>
      </c>
      <c r="J58" s="12" t="s">
        <v>23</v>
      </c>
      <c r="K58" s="36" t="s">
        <v>135</v>
      </c>
      <c r="L58" s="16">
        <v>0.795</v>
      </c>
      <c r="M58" s="17">
        <f>IF(L58&lt;1,0,L58*D58)</f>
        <v>0</v>
      </c>
    </row>
    <row r="59" spans="1:13" s="12" customFormat="1" ht="15">
      <c r="A59" s="25">
        <f t="shared" si="2"/>
        <v>55</v>
      </c>
      <c r="B59" s="10"/>
      <c r="C59" s="2" t="s">
        <v>143</v>
      </c>
      <c r="D59" s="10">
        <v>4</v>
      </c>
      <c r="E59" s="19">
        <v>1</v>
      </c>
      <c r="F59" s="10" t="s">
        <v>14</v>
      </c>
      <c r="G59" s="11">
        <v>0.002425097555060738</v>
      </c>
      <c r="H59" s="11">
        <f>G59*E59</f>
        <v>0.002425097555060738</v>
      </c>
      <c r="I59" s="11">
        <f>H59*D59</f>
        <v>0.009700390220242952</v>
      </c>
      <c r="J59" s="12" t="s">
        <v>23</v>
      </c>
      <c r="K59" s="18" t="s">
        <v>142</v>
      </c>
      <c r="L59" s="16">
        <v>0.0482</v>
      </c>
      <c r="M59" s="17">
        <f>IF(L59&lt;1,0,L59*D59)</f>
        <v>0</v>
      </c>
    </row>
    <row r="60" spans="1:13" s="12" customFormat="1" ht="15">
      <c r="A60" s="25">
        <f t="shared" si="2"/>
        <v>56</v>
      </c>
      <c r="C60" s="21" t="s">
        <v>91</v>
      </c>
      <c r="D60" s="12">
        <v>1</v>
      </c>
      <c r="E60" s="13">
        <v>1</v>
      </c>
      <c r="F60" s="12" t="s">
        <v>14</v>
      </c>
      <c r="G60" s="14">
        <v>0.001</v>
      </c>
      <c r="H60" s="14">
        <f t="shared" si="5"/>
        <v>0.001</v>
      </c>
      <c r="I60" s="14">
        <f t="shared" si="6"/>
        <v>0.001</v>
      </c>
      <c r="J60" s="12" t="s">
        <v>23</v>
      </c>
      <c r="K60" s="18" t="s">
        <v>92</v>
      </c>
      <c r="L60" s="16">
        <f>11.72/25</f>
        <v>0.46880000000000005</v>
      </c>
      <c r="M60" s="17">
        <f>IF(L60&lt;1,0,L60*D60)</f>
        <v>0</v>
      </c>
    </row>
    <row r="61" spans="1:13" s="12" customFormat="1" ht="15">
      <c r="A61" s="25" t="s">
        <v>76</v>
      </c>
      <c r="E61" s="13"/>
      <c r="G61" s="11"/>
      <c r="H61" s="14"/>
      <c r="I61" s="14">
        <f>SUM(I5:I60)</f>
        <v>8.742941635985504</v>
      </c>
      <c r="K61" s="15"/>
      <c r="L61" s="17"/>
      <c r="M61" s="17">
        <f>SUM(M5:M60)</f>
        <v>340.6769392361111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McKown Family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Clem McKown</dc:creator>
  <cp:keywords/>
  <dc:description/>
  <cp:lastModifiedBy>Clem McKown</cp:lastModifiedBy>
  <dcterms:created xsi:type="dcterms:W3CDTF">2012-01-13T00:42:09Z</dcterms:created>
  <dcterms:modified xsi:type="dcterms:W3CDTF">2012-03-06T10:54:23Z</dcterms:modified>
  <cp:category/>
  <cp:version/>
  <cp:contentType/>
  <cp:contentStatus/>
</cp:coreProperties>
</file>